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E7" i="48"/>
  <c r="E24" s="1"/>
  <c r="M14" i="22"/>
  <c r="M18" s="1"/>
  <c r="N45" i="14" s="1"/>
  <c r="N46" s="1"/>
  <c r="N53" s="1"/>
  <c r="G14" i="22"/>
  <c r="I7" i="18"/>
  <c r="I9" s="1"/>
  <c r="E13" i="14"/>
  <c r="J7" i="18"/>
  <c r="E10" i="14"/>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Q7"/>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J31" i="48" l="1"/>
  <c r="E55" i="14"/>
  <c r="J14" i="48"/>
  <c r="F8"/>
  <c r="F14" s="1"/>
  <c r="Q9"/>
  <c r="Q5"/>
  <c r="F22" i="16"/>
  <c r="G39" i="14" s="1"/>
  <c r="G41" s="1"/>
  <c r="K13"/>
  <c r="K15" s="1"/>
  <c r="K23" s="1"/>
  <c r="E25" i="48"/>
  <c r="E31" s="1"/>
  <c r="E14"/>
  <c r="N25"/>
  <c r="N31" s="1"/>
  <c r="N14"/>
  <c r="E22" i="16"/>
  <c r="F39" i="14" s="1"/>
  <c r="F41" s="1"/>
  <c r="F53" s="1"/>
  <c r="F55" s="1"/>
  <c r="J22" i="16"/>
  <c r="K39" i="14" s="1"/>
  <c r="K41" s="1"/>
  <c r="K53" s="1"/>
  <c r="F13"/>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l="1"/>
  <c r="R15" s="1"/>
  <c r="R23" s="1"/>
  <c r="Q8" i="48"/>
  <c r="Q14" s="1"/>
  <c r="F25"/>
  <c r="F31"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<sst xmlns="http://schemas.openxmlformats.org/spreadsheetml/2006/main" count="2027" uniqueCount="884">
  <si>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</si>
  <si>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</si>
  <si>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</si>
  <si>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</si>
  <si>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</si>
  <si>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</si>
  <si>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</si>
  <si>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</si>
  <si>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</si>
  <si>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</si>
  <si>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</si>
  <si>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</si>
  <si>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</si>
  <si>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</si>
  <si>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</si>
  <si>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</si>
  <si>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</si>
  <si>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</si>
  <si>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</si>
  <si>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</si>
  <si>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</si>
  <si>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</si>
  <si>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</si>
  <si>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</si>
  <si>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</si>
  <si>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</si>
  <si>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</si>
  <si>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</si>
  <si>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</si>
  <si>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</si>
  <si>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</si>
  <si>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</si>
  <si>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</si>
  <si>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</si>
  <si>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</si>
  <si>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</si>
  <si>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</si>
  <si>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</si>
  <si>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</si>
  <si>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</si>
  <si>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</si>
  <si>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</si>
  <si>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</si>
  <si>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</si>
  <si>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</si>
  <si>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</si>
  <si>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</si>
  <si>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</si>
  <si>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</si>
  <si>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</si>
  <si>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</si>
  <si>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</si>
  <si>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</si>
  <si>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</si>
  <si>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</si>
  <si>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</si>
  <si>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</si>
  <si>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</si>
  <si>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</si>
  <si>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</si>
  <si>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</si>
  <si>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</si>
  <si>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</si>
  <si>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</si>
  <si>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</si>
  <si>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</si>
  <si>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</si>
  <si>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</si>
  <si>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</si>
  <si>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</si>
  <si>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</si>
  <si>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</si>
  <si>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</si>
  <si>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</si>
  <si>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</si>
  <si>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</si>
  <si>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</si>
  <si>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</si>
  <si>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</si>
  <si>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</si>
  <si>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</si>
  <si>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</si>
  <si>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</si>
  <si>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</si>
  <si>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</si>
  <si>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</si>
  <si>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</si>
  <si>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</si>
  <si>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</si>
  <si>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</si>
  <si>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</si>
  <si>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</si>
  <si>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</si>
  <si>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</si>
  <si>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</si>
  <si>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</si>
  <si>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</si>
  <si>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</si>
  <si>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</si>
  <si>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</si>
  <si>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</si>
  <si>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</si>
  <si>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</si>
  <si>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</si>
  <si>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</si>
  <si>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</si>
  <si>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</si>
  <si>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</si>
  <si>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</si>
  <si>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</si>
  <si>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</si>
  <si>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</si>
  <si>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</si>
  <si>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</si>
  <si>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</si>
  <si>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</si>
  <si>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</si>
  <si>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</si>
  <si>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</si>
  <si>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</si>
  <si>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</si>
  <si>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</si>
  <si>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</si>
  <si>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</si>
  <si>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</si>
  <si>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</si>
  <si>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</si>
  <si>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</si>
  <si>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</si>
  <si>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</si>
  <si>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</si>
  <si>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</si>
  <si>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</si>
  <si>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</si>
  <si>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</si>
  <si>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</si>
  <si>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</si>
  <si>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</si>
  <si>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</si>
  <si>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</si>
  <si>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</si>
  <si>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</si>
  <si>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</si>
  <si>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</si>
  <si>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</si>
  <si>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</si>
  <si>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</si>
  <si>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</si>
  <si>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</si>
  <si>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</si>
  <si>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</si>
  <si>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</si>
  <si>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</si>
  <si>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</si>
  <si>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</si>
  <si>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</si>
  <si>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</si>
  <si>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</si>
  <si>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</si>
  <si>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</si>
  <si>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</si>
  <si>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</si>
  <si>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</si>
  <si>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</si>
  <si>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</si>
  <si>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</si>
  <si>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</si>
  <si>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</si>
  <si>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</si>
  <si>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</si>
  <si>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</si>
  <si>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</si>
  <si>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</si>
  <si>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</si>
  <si>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</si>
  <si>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</si>
  <si>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</si>
  <si>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</si>
  <si>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</si>
  <si>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</si>
  <si>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</si>
  <si>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</si>
  <si>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</si>
  <si>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</si>
  <si>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</si>
  <si>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</si>
  <si>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</si>
  <si>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</si>
  <si>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</si>
  <si>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</si>
  <si>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</si>
  <si>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</si>
  <si>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</si>
  <si>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</si>
  <si>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</si>
  <si>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</si>
  <si>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</si>
  <si>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</si>
  <si>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</si>
  <si>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</si>
  <si>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</si>
  <si>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</si>
  <si>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</si>
  <si>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</si>
  <si>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</si>
  <si>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</si>
  <si>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</si>
  <si>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</si>
  <si>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</si>
  <si>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</si>
  <si>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</si>
  <si>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</si>
  <si>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</si>
  <si>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</si>
  <si>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</si>
  <si>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</si>
  <si>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</si>
  <si>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</si>
  <si>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</si>
  <si>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</si>
  <si>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</si>
  <si>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</si>
  <si>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</si>
  <si>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</si>
  <si>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</si>
  <si>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</si>
  <si>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</si>
  <si>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</si>
  <si>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</si>
  <si>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</si>
  <si>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</si>
  <si>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</si>
  <si>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</si>
  <si>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</si>
  <si>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</si>
  <si>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</si>
  <si>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</si>
  <si>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</si>
  <si>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</si>
  <si>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</si>
  <si>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</si>
  <si>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</si>
  <si>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</si>
  <si>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</si>
  <si>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</si>
  <si>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</si>
  <si>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</si>
  <si>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</si>
  <si>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</si>
  <si>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</si>
  <si>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</si>
  <si>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</si>
  <si>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</si>
  <si>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</si>
  <si>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</si>
  <si>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</si>
  <si>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</si>
  <si>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</si>
  <si>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</si>
  <si>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</si>
  <si>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</si>
  <si>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</si>
  <si>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</si>
  <si>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</si>
  <si>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</si>
  <si>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</si>
  <si>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</si>
  <si>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</si>
  <si>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</si>
  <si>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</si>
  <si>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</si>
  <si>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</si>
  <si>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</si>
  <si>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</si>
  <si>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</si>
  <si>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</si>
  <si>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</si>
  <si>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</si>
  <si>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</si>
  <si>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</si>
  <si>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</si>
  <si>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</si>
  <si>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</si>
  <si>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</si>
  <si>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</si>
  <si>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</si>
  <si>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</si>
  <si>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</si>
  <si>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</si>
  <si>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</si>
  <si>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</si>
  <si>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</si>
  <si>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</si>
  <si>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</si>
  <si>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</si>
  <si>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</si>
  <si>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</si>
  <si>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</si>
  <si>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</si>
  <si>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</si>
  <si>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</si>
  <si>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</si>
  <si>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</si>
  <si>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</si>
  <si>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</si>
  <si>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</si>
  <si>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</si>
  <si>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</si>
  <si>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</si>
  <si>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</si>
  <si>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</si>
  <si>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</si>
  <si>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</si>
  <si>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</si>
  <si>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</si>
  <si>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</si>
  <si>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</si>
  <si>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</si>
  <si>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</si>
  <si>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</si>
  <si>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</si>
  <si>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</si>
  <si>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</si>
  <si>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</si>
  <si>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</si>
  <si>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</si>
  <si>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</si>
  <si>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</si>
  <si>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</si>
  <si>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</si>
  <si>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</si>
  <si>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</si>
  <si>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</si>
  <si>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</si>
  <si>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</si>
  <si>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</si>
  <si>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</si>
  <si>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</si>
  <si>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</si>
  <si>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</si>
  <si>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</si>
  <si>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</si>
  <si>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</si>
  <si>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</si>
  <si>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</si>
  <si>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</si>
  <si>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</si>
  <si>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</si>
  <si>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</si>
  <si>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</si>
  <si>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</si>
  <si>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</si>
  <si>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</si>
  <si>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</si>
  <si>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</si>
  <si>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</si>
  <si>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</si>
  <si>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</si>
  <si>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</si>
  <si>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</si>
  <si>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</si>
  <si>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</si>
  <si>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</si>
  <si>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</si>
  <si>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</si>
  <si>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</si>
  <si>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</si>
  <si>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</si>
  <si>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</si>
  <si>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</si>
  <si>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</si>
  <si>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</si>
  <si>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</si>
  <si>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</si>
  <si>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</si>
  <si>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</si>
  <si>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</si>
  <si>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</si>
  <si>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</si>
  <si>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</si>
  <si>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</si>
  <si>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</si>
  <si>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</si>
  <si>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</si>
  <si>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</si>
  <si>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</si>
  <si>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</si>
  <si>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</si>
  <si>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</si>
  <si>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</si>
  <si>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</si>
  <si>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</si>
  <si>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</si>
  <si>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</si>
  <si>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</si>
  <si>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</si>
  <si>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</si>
  <si>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</si>
  <si>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</si>
  <si>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</si>
  <si>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</si>
  <si>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</si>
  <si>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</si>
  <si>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</si>
  <si>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</si>
  <si>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</si>
  <si>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</si>
  <si>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</si>
  <si>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</si>
  <si>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</si>
  <si>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</si>
  <si>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</si>
  <si>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</si>
  <si>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</si>
  <si>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</si>
  <si>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</si>
  <si>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</si>
  <si>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</si>
  <si>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</si>
  <si>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</si>
  <si>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</si>
  <si>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</si>
  <si>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</si>
  <si>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</si>
  <si>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</si>
  <si>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</si>
  <si>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</si>
  <si>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</si>
  <si>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</si>
  <si>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</si>
  <si>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</si>
  <si>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</si>
  <si>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</si>
  <si>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</si>
  <si>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</si>
  <si>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</si>
  <si>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</si>
  <si>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</si>
  <si>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</si>
  <si>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</si>
  <si>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</si>
  <si>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</si>
  <si>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</si>
  <si>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</si>
  <si>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</si>
  <si>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</si>
  <si>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</si>
  <si>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</si>
  <si>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</si>
  <si>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</si>
  <si>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</si>
  <si>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</si>
  <si>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</si>
  <si>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</si>
  <si>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</si>
  <si>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</si>
  <si>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</si>
  <si>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</si>
  <si>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</si>
  <si>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</si>
  <si>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</si>
  <si>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</si>
  <si>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</si>
  <si>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</si>
  <si>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</si>
  <si>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</si>
  <si>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</si>
  <si>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</si>
  <si>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</si>
  <si>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</si>
  <si>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</si>
  <si>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</si>
  <si>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</si>
  <si>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</si>
  <si>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</si>
  <si>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</si>
  <si>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</si>
  <si>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</si>
  <si>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</si>
  <si>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</si>
  <si>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</si>
  <si>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</si>
  <si>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</si>
  <si>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</si>
  <si>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</si>
  <si>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</si>
  <si>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</si>
  <si>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</si>
  <si>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</si>
  <si>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</si>
  <si>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</si>
  <si>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</si>
  <si>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</si>
  <si>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</si>
  <si>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</si>
  <si>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</si>
  <si>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</si>
  <si>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</si>
  <si>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</si>
  <si>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</si>
  <si>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</si>
  <si>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</si>
  <si>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</si>
  <si>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</si>
  <si>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</si>
  <si>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</si>
  <si>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</si>
  <si>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</si>
  <si>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</si>
  <si>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</si>
  <si>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</si>
  <si>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</si>
  <si>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</si>
  <si>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</si>
  <si>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</si>
  <si>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</si>
  <si>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</si>
  <si>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</si>
  <si>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</si>
  <si>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</si>
  <si>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</si>
  <si>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</si>
  <si>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</si>
  <si>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</si>
  <si>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</si>
  <si>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</si>
  <si>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</si>
  <si>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</si>
  <si>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</si>
  <si>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</si>
  <si>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</si>
  <si>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</si>
  <si>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</si>
  <si>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</si>
  <si>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</si>
  <si>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</si>
  <si>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</si>
  <si>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</si>
  <si>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</si>
  <si>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</si>
  <si>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</si>
  <si>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</si>
  <si>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</si>
  <si>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</si>
  <si>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</si>
  <si>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</si>
  <si>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</si>
  <si>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</si>
  <si>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</si>
  <si>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</si>
  <si>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</si>
  <si>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</si>
  <si>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</si>
  <si>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</si>
  <si>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</si>
  <si>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</si>
  <si>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</si>
  <si>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</si>
  <si>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</si>
  <si>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</si>
  <si>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</si>
  <si>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</si>
  <si>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</si>
  <si>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</si>
  <si>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</si>
  <si>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</si>
  <si>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</si>
  <si>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</si>
  <si>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</si>
  <si>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</si>
  <si>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</si>
  <si>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</si>
  <si>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</si>
  <si>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</si>
  <si>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</si>
  <si>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</si>
  <si>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</si>
  <si>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</si>
  <si>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</si>
  <si>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</si>
  <si>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</si>
  <si>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</si>
  <si>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</si>
  <si>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</si>
  <si>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</si>
  <si>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</si>
  <si>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</si>
  <si>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</si>
  <si>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</si>
  <si>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</si>
  <si>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</si>
  <si>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</si>
  <si>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</si>
  <si>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</si>
  <si>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</si>
  <si>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</si>
  <si>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</si>
  <si>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</si>
  <si>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</si>
  <si>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</si>
  <si>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</si>
  <si>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</si>
  <si>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</si>
  <si>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</si>
  <si>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</si>
  <si>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</si>
  <si>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</si>
  <si>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</si>
  <si>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</si>
  <si>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</si>
  <si>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</si>
  <si>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</si>
  <si>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</si>
  <si>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</si>
  <si>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</si>
  <si>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</si>
  <si>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</si>
  <si>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</si>
  <si>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</si>
  <si>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</si>
  <si>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</si>
  <si>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</si>
  <si>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</si>
  <si>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</si>
  <si>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</si>
  <si>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</si>
  <si>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</si>
  <si>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</si>
  <si>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</si>
  <si>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</si>
  <si>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</si>
  <si>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</si>
  <si>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</si>
  <si>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</si>
  <si>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</si>
  <si>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</si>
  <si>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</si>
  <si>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</si>
  <si>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</si>
  <si>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</si>
  <si>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</si>
  <si>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</si>
  <si>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</si>
  <si>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</si>
  <si>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</si>
  <si>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</si>
  <si>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</si>
  <si>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</si>
  <si>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</si>
  <si>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</si>
  <si>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</si>
  <si>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</si>
  <si>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</si>
  <si>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</si>
  <si>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</si>
  <si>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</si>
  <si>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</si>
  <si>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</si>
  <si>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</si>
  <si>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</si>
  <si>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</si>
  <si>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</si>
  <si>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</si>
  <si>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</si>
  <si>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</si>
  <si>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</si>
  <si>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</si>
  <si>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</si>
  <si>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</si>
  <si>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</si>
  <si>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</si>
  <si>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</si>
  <si>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</si>
  <si>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</si>
  <si>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</si>
  <si>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</si>
  <si>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</si>
  <si>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</si>
  <si>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</si>
  <si>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</si>
  <si>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</si>
  <si>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</si>
  <si>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</si>
  <si>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</si>
  <si>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</si>
  <si>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</si>
  <si>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</si>
  <si>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</si>
  <si>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</si>
  <si>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</si>
  <si>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</si>
  <si>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</si>
  <si>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</si>
  <si>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</si>
  <si>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</si>
  <si>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</si>
  <si>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</si>
  <si>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</si>
  <si>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</si>
  <si>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</si>
  <si>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</si>
  <si>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</si>
  <si>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</si>
  <si>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</si>
  <si>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</si>
  <si>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</si>
  <si>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</si>
  <si>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</si>
  <si>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</si>
  <si>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</si>
  <si>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</si>
  <si>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</si>
  <si>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</si>
  <si>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</si>
  <si>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</si>
  <si>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</si>
  <si>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</si>
  <si>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</si>
  <si>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</si>
  <si>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</si>
  <si>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</si>
  <si>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</si>
  <si>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</si>
  <si>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</si>
  <si>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</si>
  <si>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</si>
  <si>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</si>
  <si>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</si>
  <si>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</si>
  <si>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</si>
  <si>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</si>
  <si>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</si>
  <si>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</si>
  <si>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</si>
  <si>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</si>
  <si>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</si>
  <si>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</si>
  <si>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</si>
  <si>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</si>
  <si>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</si>
  <si>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</si>
  <si>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</si>
  <si>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</si>
  <si>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</si>
  <si>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</si>
  <si>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</si>
  <si>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</si>
  <si>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</si>
  <si>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</si>
  <si>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</si>
  <si>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</si>
  <si>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</si>
  <si>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</si>
  <si>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</si>
  <si>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</si>
  <si>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</si>
  <si>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</si>
  <si>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</si>
  <si>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</si>
  <si>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</si>
  <si>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</si>
  <si>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</si>
  <si>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</si>
  <si>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</si>
  <si>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</si>
  <si>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</si>
  <si>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</si>
  <si>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</si>
  <si>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</si>
  <si>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</si>
  <si>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</si>
  <si>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</si>
  <si>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</si>
  <si>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</si>
  <si>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</si>
  <si>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</si>
  <si>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</si>
  <si>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</si>
  <si>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</si>
  <si>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</si>
  <si>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</si>
  <si>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</si>
  <si>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</si>
  <si>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</si>
  <si>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</si>
  <si>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</si>
  <si>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</si>
  <si>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</si>
  <si>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</si>
  <si>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</si>
  <si>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</si>
  <si>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</si>
  <si>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</si>
  <si>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</si>
  <si>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</si>
  <si>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</si>
  <si>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</si>
  <si>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</si>
  <si>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</si>
  <si>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</si>
  <si>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</si>
  <si>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</si>
  <si>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</si>
  <si>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</si>
  <si>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</si>
  <si>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</si>
  <si>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</si>
  <si>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</si>
  <si>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</si>
  <si>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</si>
  <si>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</si>
  <si>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</si>
  <si>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</si>
  <si>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</si>
  <si>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</si>
  <si>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</si>
  <si>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</si>
  <si>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</si>
  <si>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</si>
  <si>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</si>
  <si>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</si>
  <si>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</si>
  <si>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</si>
  <si>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</si>
  <si>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</si>
  <si>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</si>
  <si>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</si>
  <si>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</si>
  <si>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</si>
  <si>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</si>
  <si>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</si>
  <si>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</si>
  <si>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</si>
  <si>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</si>
  <si>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</si>
  <si>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</si>
  <si>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</si>
  <si>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</si>
  <si>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</si>
  <si>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</si>
  <si>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</si>
  <si>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</si>
  <si>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</si>
  <si>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</si>
  <si>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</si>
  <si>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</si>
  <si>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</si>
  <si>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</si>
  <si>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</si>
  <si>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</si>
  <si>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</si>
  <si>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</si>
  <si>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</si>
  <si>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</si>
  <si>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</si>
  <si>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</si>
  <si>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</si>
  <si>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</si>
  <si>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</si>
  <si>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</si>
  <si>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</si>
  <si>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</si>
  <si>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</si>
  <si>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</si>
  <si>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</si>
  <si>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</si>
  <si>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</si>
  <si>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</si>
  <si>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</si>
  <si>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</si>
  <si>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</si>
  <si>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41063</t>
  </si>
  <si>
    <t>SINT-LIEVENS-HOUTEM</t>
  </si>
  <si>
    <t>Paarden&amp;pony's 200 - 600 kg</t>
  </si>
  <si>
    <t>Paarden&amp;pony's &lt; 200 kg</t>
  </si>
  <si>
    <t>op basis van VEA (maart 2018) en Inventaris Hernieuwbare Energiebronnen (juni 2018)</t>
  </si>
  <si>
    <t>VEA (juni 2018)</t>
  </si>
  <si>
    <t>COFELY Services</t>
  </si>
  <si>
    <t>Koning Albert II-laan 30 28, 1000 Brussel</t>
  </si>
  <si>
    <t>BGS-0018 Ilva Vlierzele</t>
  </si>
  <si>
    <t>biogas - stortgas</t>
  </si>
  <si>
    <t>niet WKK interne verbrandingsmotor (gas)</t>
  </si>
  <si>
    <t>Bussegem 2, 9520 Sint-Lievens-Houtem</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</si>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</sst>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41063</v>
      </c>
      <c r="B6" s="397"/>
      <c r="C6" s="398"/>
    </row>
    <row r="7" spans="1:7" s="395" customFormat="1" ht="15.75" customHeight="1">
      <c r="A7" s="399" t="str">
        <f>txtMunicipality</f>
        <v>SINT-LIEVENS-HOUTEM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12872.670258632692</v>
      </c>
      <c r="D10" s="703">
        <f ca="1">tertiair!C16</f>
        <v>0</v>
      </c>
      <c r="E10" s="703">
        <f ca="1">tertiair!D16</f>
        <v>5244.686827309406</v>
      </c>
      <c r="F10" s="703">
        <f>tertiair!E16</f>
        <v>60.622855489094817</v>
      </c>
      <c r="G10" s="703">
        <f ca="1">tertiair!F16</f>
        <v>1598.8768908604084</v>
      </c>
      <c r="H10" s="703">
        <f>tertiair!G16</f>
        <v>0</v>
      </c>
      <c r="I10" s="703">
        <f>tertiair!H16</f>
        <v>0</v>
      </c>
      <c r="J10" s="703">
        <f>tertiair!I16</f>
        <v>0</v>
      </c>
      <c r="K10" s="703">
        <f>tertiair!J16</f>
        <v>0</v>
      </c>
      <c r="L10" s="703">
        <f>tertiair!K16</f>
        <v>0</v>
      </c>
      <c r="M10" s="703">
        <f ca="1">tertiair!L16</f>
        <v>0</v>
      </c>
      <c r="N10" s="703">
        <f>tertiair!M16</f>
        <v>0</v>
      </c>
      <c r="O10" s="703">
        <f ca="1">tertiair!N16</f>
        <v>0</v>
      </c>
      <c r="P10" s="703">
        <f>tertiair!O16</f>
        <v>0</v>
      </c>
      <c r="Q10" s="704">
        <f>tertiair!P16</f>
        <v>0</v>
      </c>
      <c r="R10" s="706">
        <f ca="1">SUM(C10:Q10)</f>
        <v>19776.8568322916</v>
      </c>
      <c r="S10" s="68"/>
    </row>
    <row r="11" spans="1:19" s="458" customFormat="1">
      <c r="A11" s="859" t="s">
        <v>225</v>
      </c>
      <c r="B11" s="864"/>
      <c r="C11" s="703">
        <f>huishoudens!B8</f>
        <v>22037.444307236896</v>
      </c>
      <c r="D11" s="703">
        <f>huishoudens!C8</f>
        <v>0</v>
      </c>
      <c r="E11" s="703">
        <f>huishoudens!D8</f>
        <v>28742.548513158414</v>
      </c>
      <c r="F11" s="703">
        <f>huishoudens!E8</f>
        <v>2741.5117819781731</v>
      </c>
      <c r="G11" s="703">
        <f>huishoudens!F8</f>
        <v>18196.225338187462</v>
      </c>
      <c r="H11" s="703">
        <f>huishoudens!G8</f>
        <v>0</v>
      </c>
      <c r="I11" s="703">
        <f>huishoudens!H8</f>
        <v>0</v>
      </c>
      <c r="J11" s="703">
        <f>huishoudens!I8</f>
        <v>0</v>
      </c>
      <c r="K11" s="703">
        <f>huishoudens!J8</f>
        <v>7422.2108268191714</v>
      </c>
      <c r="L11" s="703">
        <f>huishoudens!K8</f>
        <v>0</v>
      </c>
      <c r="M11" s="703">
        <f>huishoudens!L8</f>
        <v>0</v>
      </c>
      <c r="N11" s="703">
        <f>huishoudens!M8</f>
        <v>0</v>
      </c>
      <c r="O11" s="703">
        <f>huishoudens!N8</f>
        <v>8068.5031100448477</v>
      </c>
      <c r="P11" s="703">
        <f>huishoudens!O8</f>
        <v>84.42</v>
      </c>
      <c r="Q11" s="704">
        <f>huishoudens!P8</f>
        <v>419.4666666666667</v>
      </c>
      <c r="R11" s="706">
        <f>SUM(C11:Q11)</f>
        <v>87712.330544091616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22408.6042858322</v>
      </c>
      <c r="D13" s="703">
        <f>industrie!C18</f>
        <v>0</v>
      </c>
      <c r="E13" s="703">
        <f>industrie!D18</f>
        <v>65634.008990839167</v>
      </c>
      <c r="F13" s="703">
        <f>industrie!E18</f>
        <v>200.55900690265617</v>
      </c>
      <c r="G13" s="703">
        <f>industrie!F18</f>
        <v>4699.3024629100673</v>
      </c>
      <c r="H13" s="703">
        <f>industrie!G18</f>
        <v>0</v>
      </c>
      <c r="I13" s="703">
        <f>industrie!H18</f>
        <v>0</v>
      </c>
      <c r="J13" s="703">
        <f>industrie!I18</f>
        <v>0</v>
      </c>
      <c r="K13" s="703">
        <f>industrie!J18</f>
        <v>108.17182681444054</v>
      </c>
      <c r="L13" s="703">
        <f>industrie!K18</f>
        <v>0</v>
      </c>
      <c r="M13" s="703">
        <f>industrie!L18</f>
        <v>0</v>
      </c>
      <c r="N13" s="703">
        <f>industrie!M18</f>
        <v>0</v>
      </c>
      <c r="O13" s="703">
        <f>industrie!N18</f>
        <v>703.44712518186338</v>
      </c>
      <c r="P13" s="703">
        <f>industrie!O18</f>
        <v>0</v>
      </c>
      <c r="Q13" s="704">
        <f>industrie!P18</f>
        <v>0</v>
      </c>
      <c r="R13" s="706">
        <f>SUM(C13:Q13)</f>
        <v>93754.093698480399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57318.718851701793</v>
      </c>
      <c r="D15" s="708">
        <f t="shared" ref="D15:Q15" ca="1" si="0">SUM(D9:D14)</f>
        <v>0</v>
      </c>
      <c r="E15" s="708">
        <f t="shared" ca="1" si="0"/>
        <v>99621.244331306982</v>
      </c>
      <c r="F15" s="708">
        <f t="shared" si="0"/>
        <v>3002.6936443699242</v>
      </c>
      <c r="G15" s="708">
        <f t="shared" ca="1" si="0"/>
        <v>24494.404691957934</v>
      </c>
      <c r="H15" s="708">
        <f t="shared" si="0"/>
        <v>0</v>
      </c>
      <c r="I15" s="708">
        <f t="shared" si="0"/>
        <v>0</v>
      </c>
      <c r="J15" s="708">
        <f t="shared" si="0"/>
        <v>0</v>
      </c>
      <c r="K15" s="708">
        <f t="shared" si="0"/>
        <v>7530.3826536336119</v>
      </c>
      <c r="L15" s="708">
        <f t="shared" si="0"/>
        <v>0</v>
      </c>
      <c r="M15" s="708">
        <f t="shared" ca="1" si="0"/>
        <v>0</v>
      </c>
      <c r="N15" s="708">
        <f t="shared" si="0"/>
        <v>0</v>
      </c>
      <c r="O15" s="708">
        <f t="shared" ca="1" si="0"/>
        <v>8771.9502352267118</v>
      </c>
      <c r="P15" s="708">
        <f t="shared" si="0"/>
        <v>84.42</v>
      </c>
      <c r="Q15" s="709">
        <f t="shared" si="0"/>
        <v>419.4666666666667</v>
      </c>
      <c r="R15" s="710">
        <f ca="1">SUM(R9:R14)</f>
        <v>201243.28107486363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776.58294787611669</v>
      </c>
      <c r="I18" s="703">
        <f>transport!H54</f>
        <v>0</v>
      </c>
      <c r="J18" s="703">
        <f>transport!I54</f>
        <v>0</v>
      </c>
      <c r="K18" s="703">
        <f>transport!J54</f>
        <v>0</v>
      </c>
      <c r="L18" s="703">
        <f>transport!K54</f>
        <v>0</v>
      </c>
      <c r="M18" s="703">
        <f>transport!L54</f>
        <v>0</v>
      </c>
      <c r="N18" s="703">
        <f>transport!M54</f>
        <v>34.101038294944111</v>
      </c>
      <c r="O18" s="703">
        <f>transport!N54</f>
        <v>0</v>
      </c>
      <c r="P18" s="703">
        <f>transport!O54</f>
        <v>0</v>
      </c>
      <c r="Q18" s="704">
        <f>transport!P54</f>
        <v>0</v>
      </c>
      <c r="R18" s="706">
        <f>SUM(C18:Q18)</f>
        <v>810.68398617106084</v>
      </c>
      <c r="S18" s="68"/>
    </row>
    <row r="19" spans="1:19" s="458" customFormat="1" ht="15" thickBot="1">
      <c r="A19" s="859" t="s">
        <v>307</v>
      </c>
      <c r="B19" s="864"/>
      <c r="C19" s="712">
        <f>transport!B14</f>
        <v>2.2114534726682846</v>
      </c>
      <c r="D19" s="712">
        <f>transport!C14</f>
        <v>0</v>
      </c>
      <c r="E19" s="712">
        <f>transport!D14</f>
        <v>6.5609767302526345</v>
      </c>
      <c r="F19" s="712">
        <f>transport!E14</f>
        <v>432.03577191556991</v>
      </c>
      <c r="G19" s="712">
        <f>transport!F14</f>
        <v>0</v>
      </c>
      <c r="H19" s="712">
        <f>transport!G14</f>
        <v>85776.401270850285</v>
      </c>
      <c r="I19" s="712">
        <f>transport!H14</f>
        <v>14986.870737697236</v>
      </c>
      <c r="J19" s="712">
        <f>transport!I14</f>
        <v>0</v>
      </c>
      <c r="K19" s="712">
        <f>transport!J14</f>
        <v>0</v>
      </c>
      <c r="L19" s="712">
        <f>transport!K14</f>
        <v>0</v>
      </c>
      <c r="M19" s="712">
        <f>transport!L14</f>
        <v>0</v>
      </c>
      <c r="N19" s="712">
        <f>transport!M14</f>
        <v>4505.2000632648333</v>
      </c>
      <c r="O19" s="712">
        <f>transport!N14</f>
        <v>0</v>
      </c>
      <c r="P19" s="712">
        <f>transport!O14</f>
        <v>0</v>
      </c>
      <c r="Q19" s="713">
        <f>transport!P14</f>
        <v>0</v>
      </c>
      <c r="R19" s="714">
        <f>SUM(C19:Q19)</f>
        <v>105709.28027393084</v>
      </c>
      <c r="S19" s="68"/>
    </row>
    <row r="20" spans="1:19" s="458" customFormat="1" ht="15.75" thickBot="1">
      <c r="A20" s="715" t="s">
        <v>230</v>
      </c>
      <c r="B20" s="867"/>
      <c r="C20" s="862">
        <f>SUM(C17:C19)</f>
        <v>2.2114534726682846</v>
      </c>
      <c r="D20" s="716">
        <f t="shared" ref="D20:R20" si="1">SUM(D17:D19)</f>
        <v>0</v>
      </c>
      <c r="E20" s="716">
        <f t="shared" si="1"/>
        <v>6.5609767302526345</v>
      </c>
      <c r="F20" s="716">
        <f t="shared" si="1"/>
        <v>432.03577191556991</v>
      </c>
      <c r="G20" s="716">
        <f t="shared" si="1"/>
        <v>0</v>
      </c>
      <c r="H20" s="716">
        <f t="shared" si="1"/>
        <v>86552.9842187264</v>
      </c>
      <c r="I20" s="716">
        <f t="shared" si="1"/>
        <v>14986.870737697236</v>
      </c>
      <c r="J20" s="716">
        <f t="shared" si="1"/>
        <v>0</v>
      </c>
      <c r="K20" s="716">
        <f t="shared" si="1"/>
        <v>0</v>
      </c>
      <c r="L20" s="716">
        <f t="shared" si="1"/>
        <v>0</v>
      </c>
      <c r="M20" s="716">
        <f t="shared" si="1"/>
        <v>0</v>
      </c>
      <c r="N20" s="716">
        <f t="shared" si="1"/>
        <v>4539.3011015597776</v>
      </c>
      <c r="O20" s="716">
        <f t="shared" si="1"/>
        <v>0</v>
      </c>
      <c r="P20" s="716">
        <f t="shared" si="1"/>
        <v>0</v>
      </c>
      <c r="Q20" s="717">
        <f t="shared" si="1"/>
        <v>0</v>
      </c>
      <c r="R20" s="718">
        <f t="shared" si="1"/>
        <v>106519.9642601019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1254.812095547629</v>
      </c>
      <c r="D22" s="712">
        <f>+landbouw!C8</f>
        <v>0</v>
      </c>
      <c r="E22" s="712">
        <f>+landbouw!D8</f>
        <v>692.48454062156554</v>
      </c>
      <c r="F22" s="712">
        <f>+landbouw!E8</f>
        <v>11.821170691741942</v>
      </c>
      <c r="G22" s="712">
        <f>+landbouw!F8</f>
        <v>4094.8683033336965</v>
      </c>
      <c r="H22" s="712">
        <f>+landbouw!G8</f>
        <v>0</v>
      </c>
      <c r="I22" s="712">
        <f>+landbouw!H8</f>
        <v>0</v>
      </c>
      <c r="J22" s="712">
        <f>+landbouw!I8</f>
        <v>0</v>
      </c>
      <c r="K22" s="712">
        <f>+landbouw!J8</f>
        <v>155.22635962410209</v>
      </c>
      <c r="L22" s="712">
        <f>+landbouw!K8</f>
        <v>0</v>
      </c>
      <c r="M22" s="712">
        <f>+landbouw!L8</f>
        <v>0</v>
      </c>
      <c r="N22" s="712">
        <f>+landbouw!M8</f>
        <v>0</v>
      </c>
      <c r="O22" s="712">
        <f>+landbouw!N8</f>
        <v>0</v>
      </c>
      <c r="P22" s="712">
        <f>+landbouw!O8</f>
        <v>0</v>
      </c>
      <c r="Q22" s="713">
        <f>+landbouw!P8</f>
        <v>0</v>
      </c>
      <c r="R22" s="714">
        <f>SUM(C22:Q22)</f>
        <v>6209.2124698187354</v>
      </c>
      <c r="S22" s="68"/>
    </row>
    <row r="23" spans="1:19" s="458" customFormat="1" ht="17.25" thickTop="1" thickBot="1">
      <c r="A23" s="719" t="s">
        <v>116</v>
      </c>
      <c r="B23" s="853"/>
      <c r="C23" s="720">
        <f ca="1">C20+C15+C22</f>
        <v>58575.742400722091</v>
      </c>
      <c r="D23" s="720">
        <f t="shared" ref="D23:Q23" ca="1" si="2">D20+D15+D22</f>
        <v>0</v>
      </c>
      <c r="E23" s="720">
        <f t="shared" ca="1" si="2"/>
        <v>100320.28984865879</v>
      </c>
      <c r="F23" s="720">
        <f t="shared" si="2"/>
        <v>3446.550586977236</v>
      </c>
      <c r="G23" s="720">
        <f t="shared" ca="1" si="2"/>
        <v>28589.272995291631</v>
      </c>
      <c r="H23" s="720">
        <f t="shared" si="2"/>
        <v>86552.9842187264</v>
      </c>
      <c r="I23" s="720">
        <f t="shared" si="2"/>
        <v>14986.870737697236</v>
      </c>
      <c r="J23" s="720">
        <f t="shared" si="2"/>
        <v>0</v>
      </c>
      <c r="K23" s="720">
        <f t="shared" si="2"/>
        <v>7685.6090132577137</v>
      </c>
      <c r="L23" s="720">
        <f t="shared" si="2"/>
        <v>0</v>
      </c>
      <c r="M23" s="720">
        <f t="shared" ca="1" si="2"/>
        <v>0</v>
      </c>
      <c r="N23" s="720">
        <f t="shared" si="2"/>
        <v>4539.3011015597776</v>
      </c>
      <c r="O23" s="720">
        <f t="shared" ca="1" si="2"/>
        <v>8771.9502352267118</v>
      </c>
      <c r="P23" s="720">
        <f t="shared" si="2"/>
        <v>84.42</v>
      </c>
      <c r="Q23" s="721">
        <f t="shared" si="2"/>
        <v>419.4666666666667</v>
      </c>
      <c r="R23" s="722">
        <f ca="1">R20+R15+R22</f>
        <v>313972.45780478424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2459.2986306752978</v>
      </c>
      <c r="D36" s="703">
        <f ca="1">tertiair!C20</f>
        <v>0</v>
      </c>
      <c r="E36" s="703">
        <f ca="1">tertiair!D20</f>
        <v>1059.4267391165001</v>
      </c>
      <c r="F36" s="703">
        <f>tertiair!E20</f>
        <v>13.761388196024525</v>
      </c>
      <c r="G36" s="703">
        <f ca="1">tertiair!F20</f>
        <v>426.90012985972908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3959.3868878475514</v>
      </c>
    </row>
    <row r="37" spans="1:18">
      <c r="A37" s="874" t="s">
        <v>225</v>
      </c>
      <c r="B37" s="881"/>
      <c r="C37" s="703">
        <f ca="1">huishoudens!B12</f>
        <v>4210.2108979312488</v>
      </c>
      <c r="D37" s="703">
        <f ca="1">huishoudens!C12</f>
        <v>0</v>
      </c>
      <c r="E37" s="703">
        <f>huishoudens!D12</f>
        <v>5805.9947996580004</v>
      </c>
      <c r="F37" s="703">
        <f>huishoudens!E12</f>
        <v>622.32317450904532</v>
      </c>
      <c r="G37" s="703">
        <f>huishoudens!F12</f>
        <v>4858.3921652960526</v>
      </c>
      <c r="H37" s="703">
        <f>huishoudens!G12</f>
        <v>0</v>
      </c>
      <c r="I37" s="703">
        <f>huishoudens!H12</f>
        <v>0</v>
      </c>
      <c r="J37" s="703">
        <f>huishoudens!I12</f>
        <v>0</v>
      </c>
      <c r="K37" s="703">
        <f>huishoudens!J12</f>
        <v>2627.4626326939865</v>
      </c>
      <c r="L37" s="703">
        <f>huishoudens!K12</f>
        <v>0</v>
      </c>
      <c r="M37" s="703">
        <f>huishoudens!L12</f>
        <v>0</v>
      </c>
      <c r="N37" s="703">
        <f>huishoudens!M12</f>
        <v>0</v>
      </c>
      <c r="O37" s="703">
        <f>huishoudens!N12</f>
        <v>0</v>
      </c>
      <c r="P37" s="703">
        <f>huishoudens!O12</f>
        <v>0</v>
      </c>
      <c r="Q37" s="813">
        <f>huishoudens!P12</f>
        <v>0</v>
      </c>
      <c r="R37" s="906">
        <f ca="1">SUM(C37:Q37)</f>
        <v>18124.383670088333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4281.1202903713111</v>
      </c>
      <c r="D39" s="703">
        <f ca="1">industrie!C22</f>
        <v>0</v>
      </c>
      <c r="E39" s="703">
        <f>industrie!D22</f>
        <v>13258.069816149513</v>
      </c>
      <c r="F39" s="703">
        <f>industrie!E22</f>
        <v>45.526894566902953</v>
      </c>
      <c r="G39" s="703">
        <f>industrie!F22</f>
        <v>1254.713757596988</v>
      </c>
      <c r="H39" s="703">
        <f>industrie!G22</f>
        <v>0</v>
      </c>
      <c r="I39" s="703">
        <f>industrie!H22</f>
        <v>0</v>
      </c>
      <c r="J39" s="703">
        <f>industrie!I22</f>
        <v>0</v>
      </c>
      <c r="K39" s="703">
        <f>industrie!J22</f>
        <v>38.292826692311948</v>
      </c>
      <c r="L39" s="703">
        <f>industrie!K22</f>
        <v>0</v>
      </c>
      <c r="M39" s="703">
        <f>industrie!L22</f>
        <v>0</v>
      </c>
      <c r="N39" s="703">
        <f>industrie!M22</f>
        <v>0</v>
      </c>
      <c r="O39" s="703">
        <f>industrie!N22</f>
        <v>0</v>
      </c>
      <c r="P39" s="703">
        <f>industrie!O22</f>
        <v>0</v>
      </c>
      <c r="Q39" s="813">
        <f>industrie!P22</f>
        <v>0</v>
      </c>
      <c r="R39" s="907">
        <f ca="1">SUM(C39:Q39)</f>
        <v>18877.723585377022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10950.629818977857</v>
      </c>
      <c r="D41" s="748">
        <f t="shared" ref="D41:R41" ca="1" si="4">SUM(D35:D40)</f>
        <v>0</v>
      </c>
      <c r="E41" s="748">
        <f t="shared" ca="1" si="4"/>
        <v>20123.491354924015</v>
      </c>
      <c r="F41" s="748">
        <f t="shared" si="4"/>
        <v>681.61145727197277</v>
      </c>
      <c r="G41" s="748">
        <f t="shared" ca="1" si="4"/>
        <v>6540.0060527527694</v>
      </c>
      <c r="H41" s="748">
        <f t="shared" si="4"/>
        <v>0</v>
      </c>
      <c r="I41" s="748">
        <f t="shared" si="4"/>
        <v>0</v>
      </c>
      <c r="J41" s="748">
        <f t="shared" si="4"/>
        <v>0</v>
      </c>
      <c r="K41" s="748">
        <f t="shared" si="4"/>
        <v>2665.7554593862983</v>
      </c>
      <c r="L41" s="748">
        <f t="shared" si="4"/>
        <v>0</v>
      </c>
      <c r="M41" s="748">
        <f t="shared" ca="1" si="4"/>
        <v>0</v>
      </c>
      <c r="N41" s="748">
        <f t="shared" si="4"/>
        <v>0</v>
      </c>
      <c r="O41" s="748">
        <f t="shared" ca="1" si="4"/>
        <v>0</v>
      </c>
      <c r="P41" s="748">
        <f t="shared" si="4"/>
        <v>0</v>
      </c>
      <c r="Q41" s="749">
        <f t="shared" si="4"/>
        <v>0</v>
      </c>
      <c r="R41" s="750">
        <f t="shared" ca="1" si="4"/>
        <v>40961.494143312906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207.34764708292317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207.34764708292317</v>
      </c>
    </row>
    <row r="45" spans="1:18" ht="15" thickBot="1">
      <c r="A45" s="877" t="s">
        <v>307</v>
      </c>
      <c r="B45" s="887"/>
      <c r="C45" s="712">
        <f ca="1">transport!B18</f>
        <v>0.42249388727160037</v>
      </c>
      <c r="D45" s="712">
        <f>transport!C18</f>
        <v>0</v>
      </c>
      <c r="E45" s="712">
        <f>transport!D18</f>
        <v>1.3253172995110323</v>
      </c>
      <c r="F45" s="712">
        <f>transport!E18</f>
        <v>98.072120224834379</v>
      </c>
      <c r="G45" s="712">
        <f>transport!F18</f>
        <v>0</v>
      </c>
      <c r="H45" s="712">
        <f>transport!G18</f>
        <v>22902.299139317027</v>
      </c>
      <c r="I45" s="712">
        <f>transport!H18</f>
        <v>3731.7308136866118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26733.849884415256</v>
      </c>
    </row>
    <row r="46" spans="1:18" ht="15.75" thickBot="1">
      <c r="A46" s="875" t="s">
        <v>230</v>
      </c>
      <c r="B46" s="888"/>
      <c r="C46" s="748">
        <f t="shared" ref="C46:R46" ca="1" si="5">SUM(C43:C45)</f>
        <v>0.42249388727160037</v>
      </c>
      <c r="D46" s="748">
        <f t="shared" ca="1" si="5"/>
        <v>0</v>
      </c>
      <c r="E46" s="748">
        <f t="shared" si="5"/>
        <v>1.3253172995110323</v>
      </c>
      <c r="F46" s="748">
        <f t="shared" si="5"/>
        <v>98.072120224834379</v>
      </c>
      <c r="G46" s="748">
        <f t="shared" si="5"/>
        <v>0</v>
      </c>
      <c r="H46" s="748">
        <f t="shared" si="5"/>
        <v>23109.64678639995</v>
      </c>
      <c r="I46" s="748">
        <f t="shared" si="5"/>
        <v>3731.7308136866118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26941.197531498179</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239.72941171747752</v>
      </c>
      <c r="D48" s="703">
        <f ca="1">+landbouw!C12</f>
        <v>0</v>
      </c>
      <c r="E48" s="703">
        <f>+landbouw!D12</f>
        <v>139.88187720555624</v>
      </c>
      <c r="F48" s="703">
        <f>+landbouw!E12</f>
        <v>2.6834057470254211</v>
      </c>
      <c r="G48" s="703">
        <f>+landbouw!F12</f>
        <v>1093.329836990097</v>
      </c>
      <c r="H48" s="703">
        <f>+landbouw!G12</f>
        <v>0</v>
      </c>
      <c r="I48" s="703">
        <f>+landbouw!H12</f>
        <v>0</v>
      </c>
      <c r="J48" s="703">
        <f>+landbouw!I12</f>
        <v>0</v>
      </c>
      <c r="K48" s="703">
        <f>+landbouw!J12</f>
        <v>54.950131306932136</v>
      </c>
      <c r="L48" s="703">
        <f>+landbouw!K12</f>
        <v>0</v>
      </c>
      <c r="M48" s="703">
        <f>+landbouw!L12</f>
        <v>0</v>
      </c>
      <c r="N48" s="703">
        <f>+landbouw!M12</f>
        <v>0</v>
      </c>
      <c r="O48" s="703">
        <f>+landbouw!N12</f>
        <v>0</v>
      </c>
      <c r="P48" s="703">
        <f>+landbouw!O12</f>
        <v>0</v>
      </c>
      <c r="Q48" s="704">
        <f>+landbouw!P12</f>
        <v>0</v>
      </c>
      <c r="R48" s="746">
        <f ca="1">SUM(C48:Q48)</f>
        <v>1530.5746629670884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11190.781724582606</v>
      </c>
      <c r="D53" s="758">
        <f t="shared" ref="D53:Q53" ca="1" si="6">D41+D46+D48</f>
        <v>0</v>
      </c>
      <c r="E53" s="758">
        <f t="shared" ca="1" si="6"/>
        <v>20264.698549429082</v>
      </c>
      <c r="F53" s="758">
        <f t="shared" si="6"/>
        <v>782.36698324383258</v>
      </c>
      <c r="G53" s="758">
        <f t="shared" ca="1" si="6"/>
        <v>7633.3358897428661</v>
      </c>
      <c r="H53" s="758">
        <f t="shared" si="6"/>
        <v>23109.64678639995</v>
      </c>
      <c r="I53" s="758">
        <f t="shared" si="6"/>
        <v>3731.7308136866118</v>
      </c>
      <c r="J53" s="758">
        <f t="shared" si="6"/>
        <v>0</v>
      </c>
      <c r="K53" s="758">
        <f t="shared" si="6"/>
        <v>2720.7055906932305</v>
      </c>
      <c r="L53" s="758">
        <f t="shared" si="6"/>
        <v>0</v>
      </c>
      <c r="M53" s="758">
        <f t="shared" ca="1" si="6"/>
        <v>0</v>
      </c>
      <c r="N53" s="758">
        <f t="shared" si="6"/>
        <v>0</v>
      </c>
      <c r="O53" s="758">
        <f t="shared" ca="1" si="6"/>
        <v>0</v>
      </c>
      <c r="P53" s="758">
        <f>P41+P46+P48</f>
        <v>0</v>
      </c>
      <c r="Q53" s="759">
        <f t="shared" si="6"/>
        <v>0</v>
      </c>
      <c r="R53" s="760">
        <f ca="1">R41+R46+R48</f>
        <v>69433.266337778172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0.19104805617358514</v>
      </c>
      <c r="D55" s="824">
        <f t="shared" ca="1" si="7"/>
        <v>0</v>
      </c>
      <c r="E55" s="824">
        <f t="shared" ca="1" si="7"/>
        <v>0.20200000000000007</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2628.7210225202475</v>
      </c>
      <c r="C66" s="780">
        <f>'lokale energieproductie'!B6</f>
        <v>2628.7210225202475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5310</v>
      </c>
      <c r="C68" s="779">
        <f>B68*IFERROR(SUM(J68:L68)/SUM(D68:M68),0)</f>
        <v>5310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15171.428571428572</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7938.7210225202471</v>
      </c>
      <c r="C69" s="788">
        <f>SUM(C64:C68)</f>
        <v>7938.7210225202471</v>
      </c>
      <c r="D69" s="789">
        <f t="shared" ref="D69:M69" si="8">SUM(D67:D68)</f>
        <v>0</v>
      </c>
      <c r="E69" s="789">
        <f t="shared" si="8"/>
        <v>0</v>
      </c>
      <c r="F69" s="789">
        <f t="shared" si="8"/>
        <v>0</v>
      </c>
      <c r="G69" s="789">
        <f t="shared" si="8"/>
        <v>0</v>
      </c>
      <c r="H69" s="789">
        <f t="shared" si="8"/>
        <v>0</v>
      </c>
      <c r="I69" s="789">
        <f t="shared" si="8"/>
        <v>0</v>
      </c>
      <c r="J69" s="789">
        <f t="shared" si="8"/>
        <v>0</v>
      </c>
      <c r="K69" s="789">
        <f t="shared" si="8"/>
        <v>15171.428571428572</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22037.444307236896</v>
      </c>
      <c r="C4" s="462">
        <f>huishoudens!C8</f>
        <v>0</v>
      </c>
      <c r="D4" s="462">
        <f>huishoudens!D8</f>
        <v>28742.548513158414</v>
      </c>
      <c r="E4" s="462">
        <f>huishoudens!E8</f>
        <v>2741.5117819781731</v>
      </c>
      <c r="F4" s="462">
        <f>huishoudens!F8</f>
        <v>18196.225338187462</v>
      </c>
      <c r="G4" s="462">
        <f>huishoudens!G8</f>
        <v>0</v>
      </c>
      <c r="H4" s="462">
        <f>huishoudens!H8</f>
        <v>0</v>
      </c>
      <c r="I4" s="462">
        <f>huishoudens!I8</f>
        <v>0</v>
      </c>
      <c r="J4" s="462">
        <f>huishoudens!J8</f>
        <v>7422.2108268191714</v>
      </c>
      <c r="K4" s="462">
        <f>huishoudens!K8</f>
        <v>0</v>
      </c>
      <c r="L4" s="462">
        <f>huishoudens!L8</f>
        <v>0</v>
      </c>
      <c r="M4" s="462">
        <f>huishoudens!M8</f>
        <v>0</v>
      </c>
      <c r="N4" s="462">
        <f>huishoudens!N8</f>
        <v>8068.5031100448477</v>
      </c>
      <c r="O4" s="462">
        <f>huishoudens!O8</f>
        <v>84.42</v>
      </c>
      <c r="P4" s="463">
        <f>huishoudens!P8</f>
        <v>419.4666666666667</v>
      </c>
      <c r="Q4" s="464">
        <f>SUM(B4:P4)</f>
        <v>87712.330544091616</v>
      </c>
    </row>
    <row r="5" spans="1:17">
      <c r="A5" s="461" t="s">
        <v>156</v>
      </c>
      <c r="B5" s="462">
        <f ca="1">tertiair!B16</f>
        <v>12237.502258632692</v>
      </c>
      <c r="C5" s="462">
        <f ca="1">tertiair!C16</f>
        <v>0</v>
      </c>
      <c r="D5" s="462">
        <f ca="1">tertiair!D16</f>
        <v>5244.686827309406</v>
      </c>
      <c r="E5" s="462">
        <f>tertiair!E16</f>
        <v>60.622855489094817</v>
      </c>
      <c r="F5" s="462">
        <f ca="1">tertiair!F16</f>
        <v>1598.8768908604084</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0</v>
      </c>
      <c r="P5" s="463">
        <f>tertiair!P16</f>
        <v>0</v>
      </c>
      <c r="Q5" s="461">
        <f t="shared" ref="Q5:Q13" ca="1" si="0">SUM(B5:P5)</f>
        <v>19141.688832291598</v>
      </c>
    </row>
    <row r="6" spans="1:17">
      <c r="A6" s="461" t="s">
        <v>194</v>
      </c>
      <c r="B6" s="462">
        <f>'openbare verlichting'!B8</f>
        <v>635.16800000000001</v>
      </c>
      <c r="C6" s="462"/>
      <c r="D6" s="462"/>
      <c r="E6" s="462"/>
      <c r="F6" s="462"/>
      <c r="G6" s="462"/>
      <c r="H6" s="462"/>
      <c r="I6" s="462"/>
      <c r="J6" s="462"/>
      <c r="K6" s="462"/>
      <c r="L6" s="462"/>
      <c r="M6" s="462"/>
      <c r="N6" s="462"/>
      <c r="O6" s="462"/>
      <c r="P6" s="463"/>
      <c r="Q6" s="461">
        <f t="shared" si="0"/>
        <v>635.16800000000001</v>
      </c>
    </row>
    <row r="7" spans="1:17">
      <c r="A7" s="461" t="s">
        <v>112</v>
      </c>
      <c r="B7" s="462">
        <f>landbouw!B8</f>
        <v>1254.812095547629</v>
      </c>
      <c r="C7" s="462">
        <f>landbouw!C8</f>
        <v>0</v>
      </c>
      <c r="D7" s="462">
        <f>landbouw!D8</f>
        <v>692.48454062156554</v>
      </c>
      <c r="E7" s="462">
        <f>landbouw!E8</f>
        <v>11.821170691741942</v>
      </c>
      <c r="F7" s="462">
        <f>landbouw!F8</f>
        <v>4094.8683033336965</v>
      </c>
      <c r="G7" s="462">
        <f>landbouw!G8</f>
        <v>0</v>
      </c>
      <c r="H7" s="462">
        <f>landbouw!H8</f>
        <v>0</v>
      </c>
      <c r="I7" s="462">
        <f>landbouw!I8</f>
        <v>0</v>
      </c>
      <c r="J7" s="462">
        <f>landbouw!J8</f>
        <v>155.22635962410209</v>
      </c>
      <c r="K7" s="462">
        <f>landbouw!K8</f>
        <v>0</v>
      </c>
      <c r="L7" s="462">
        <f>landbouw!L8</f>
        <v>0</v>
      </c>
      <c r="M7" s="462">
        <f>landbouw!M8</f>
        <v>0</v>
      </c>
      <c r="N7" s="462">
        <f>landbouw!N8</f>
        <v>0</v>
      </c>
      <c r="O7" s="462">
        <f>landbouw!O8</f>
        <v>0</v>
      </c>
      <c r="P7" s="463">
        <f>landbouw!P8</f>
        <v>0</v>
      </c>
      <c r="Q7" s="461">
        <f t="shared" si="0"/>
        <v>6209.2124698187354</v>
      </c>
    </row>
    <row r="8" spans="1:17">
      <c r="A8" s="461" t="s">
        <v>685</v>
      </c>
      <c r="B8" s="462">
        <f>industrie!B18</f>
        <v>22408.6042858322</v>
      </c>
      <c r="C8" s="462">
        <f>industrie!C18</f>
        <v>0</v>
      </c>
      <c r="D8" s="462">
        <f>industrie!D18</f>
        <v>65634.008990839167</v>
      </c>
      <c r="E8" s="462">
        <f>industrie!E18</f>
        <v>200.55900690265617</v>
      </c>
      <c r="F8" s="462">
        <f>industrie!F18</f>
        <v>4699.3024629100673</v>
      </c>
      <c r="G8" s="462">
        <f>industrie!G18</f>
        <v>0</v>
      </c>
      <c r="H8" s="462">
        <f>industrie!H18</f>
        <v>0</v>
      </c>
      <c r="I8" s="462">
        <f>industrie!I18</f>
        <v>0</v>
      </c>
      <c r="J8" s="462">
        <f>industrie!J18</f>
        <v>108.17182681444054</v>
      </c>
      <c r="K8" s="462">
        <f>industrie!K18</f>
        <v>0</v>
      </c>
      <c r="L8" s="462">
        <f>industrie!L18</f>
        <v>0</v>
      </c>
      <c r="M8" s="462">
        <f>industrie!M18</f>
        <v>0</v>
      </c>
      <c r="N8" s="462">
        <f>industrie!N18</f>
        <v>703.44712518186338</v>
      </c>
      <c r="O8" s="462">
        <f>industrie!O18</f>
        <v>0</v>
      </c>
      <c r="P8" s="463">
        <f>industrie!P18</f>
        <v>0</v>
      </c>
      <c r="Q8" s="461">
        <f t="shared" si="0"/>
        <v>93754.093698480399</v>
      </c>
    </row>
    <row r="9" spans="1:17" s="467" customFormat="1">
      <c r="A9" s="465" t="s">
        <v>579</v>
      </c>
      <c r="B9" s="466">
        <f>transport!B14</f>
        <v>2.2114534726682846</v>
      </c>
      <c r="C9" s="466">
        <f>transport!C14</f>
        <v>0</v>
      </c>
      <c r="D9" s="466">
        <f>transport!D14</f>
        <v>6.5609767302526345</v>
      </c>
      <c r="E9" s="466">
        <f>transport!E14</f>
        <v>432.03577191556991</v>
      </c>
      <c r="F9" s="466">
        <f>transport!F14</f>
        <v>0</v>
      </c>
      <c r="G9" s="466">
        <f>transport!G14</f>
        <v>85776.401270850285</v>
      </c>
      <c r="H9" s="466">
        <f>transport!H14</f>
        <v>14986.870737697236</v>
      </c>
      <c r="I9" s="466">
        <f>transport!I14</f>
        <v>0</v>
      </c>
      <c r="J9" s="466">
        <f>transport!J14</f>
        <v>0</v>
      </c>
      <c r="K9" s="466">
        <f>transport!K14</f>
        <v>0</v>
      </c>
      <c r="L9" s="466">
        <f>transport!L14</f>
        <v>0</v>
      </c>
      <c r="M9" s="466">
        <f>transport!M14</f>
        <v>4505.2000632648333</v>
      </c>
      <c r="N9" s="466">
        <f>transport!N14</f>
        <v>0</v>
      </c>
      <c r="O9" s="466">
        <f>transport!O14</f>
        <v>0</v>
      </c>
      <c r="P9" s="466">
        <f>transport!P14</f>
        <v>0</v>
      </c>
      <c r="Q9" s="465">
        <f>SUM(B9:P9)</f>
        <v>105709.28027393084</v>
      </c>
    </row>
    <row r="10" spans="1:17">
      <c r="A10" s="461" t="s">
        <v>569</v>
      </c>
      <c r="B10" s="462">
        <f>transport!B54</f>
        <v>0</v>
      </c>
      <c r="C10" s="462">
        <f>transport!C54</f>
        <v>0</v>
      </c>
      <c r="D10" s="462">
        <f>transport!D54</f>
        <v>0</v>
      </c>
      <c r="E10" s="462">
        <f>transport!E54</f>
        <v>0</v>
      </c>
      <c r="F10" s="462">
        <f>transport!F54</f>
        <v>0</v>
      </c>
      <c r="G10" s="462">
        <f>transport!G54</f>
        <v>776.58294787611669</v>
      </c>
      <c r="H10" s="462">
        <f>transport!H54</f>
        <v>0</v>
      </c>
      <c r="I10" s="462">
        <f>transport!I54</f>
        <v>0</v>
      </c>
      <c r="J10" s="462">
        <f>transport!J54</f>
        <v>0</v>
      </c>
      <c r="K10" s="462">
        <f>transport!K54</f>
        <v>0</v>
      </c>
      <c r="L10" s="462">
        <f>transport!L54</f>
        <v>0</v>
      </c>
      <c r="M10" s="462">
        <f>transport!M54</f>
        <v>34.101038294944111</v>
      </c>
      <c r="N10" s="462">
        <f>transport!N54</f>
        <v>0</v>
      </c>
      <c r="O10" s="462">
        <f>transport!O54</f>
        <v>0</v>
      </c>
      <c r="P10" s="463">
        <f>transport!P54</f>
        <v>0</v>
      </c>
      <c r="Q10" s="461">
        <f t="shared" si="0"/>
        <v>810.68398617106084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58575.742400722083</v>
      </c>
      <c r="C14" s="472">
        <f t="shared" ref="C14:Q14" ca="1" si="1">SUM(C4:C13)</f>
        <v>0</v>
      </c>
      <c r="D14" s="472">
        <f t="shared" ca="1" si="1"/>
        <v>100320.28984865881</v>
      </c>
      <c r="E14" s="472">
        <f t="shared" si="1"/>
        <v>3446.550586977236</v>
      </c>
      <c r="F14" s="472">
        <f t="shared" ca="1" si="1"/>
        <v>28589.272995291634</v>
      </c>
      <c r="G14" s="472">
        <f t="shared" si="1"/>
        <v>86552.9842187264</v>
      </c>
      <c r="H14" s="472">
        <f t="shared" si="1"/>
        <v>14986.870737697236</v>
      </c>
      <c r="I14" s="472">
        <f t="shared" si="1"/>
        <v>0</v>
      </c>
      <c r="J14" s="472">
        <f t="shared" si="1"/>
        <v>7685.6090132577137</v>
      </c>
      <c r="K14" s="472">
        <f t="shared" si="1"/>
        <v>0</v>
      </c>
      <c r="L14" s="472">
        <f t="shared" ca="1" si="1"/>
        <v>0</v>
      </c>
      <c r="M14" s="472">
        <f t="shared" si="1"/>
        <v>4539.3011015597776</v>
      </c>
      <c r="N14" s="472">
        <f t="shared" ca="1" si="1"/>
        <v>8771.9502352267118</v>
      </c>
      <c r="O14" s="472">
        <f t="shared" si="1"/>
        <v>84.42</v>
      </c>
      <c r="P14" s="473">
        <f t="shared" si="1"/>
        <v>419.4666666666667</v>
      </c>
      <c r="Q14" s="473">
        <f t="shared" ca="1" si="1"/>
        <v>313972.45780478424</v>
      </c>
    </row>
    <row r="16" spans="1:17">
      <c r="A16" s="475" t="s">
        <v>574</v>
      </c>
      <c r="B16" s="829">
        <f ca="1">huishoudens!B10</f>
        <v>0.19104805617358514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4210.2108979312488</v>
      </c>
      <c r="C21" s="462">
        <f t="shared" ref="C21:C30" ca="1" si="3">C4*$C$16</f>
        <v>0</v>
      </c>
      <c r="D21" s="462">
        <f t="shared" ref="D21:D30" si="4">D4*$D$16</f>
        <v>5805.9947996580004</v>
      </c>
      <c r="E21" s="462">
        <f t="shared" ref="E21:E30" si="5">E4*$E$16</f>
        <v>622.32317450904532</v>
      </c>
      <c r="F21" s="462">
        <f t="shared" ref="F21:F30" si="6">F4*$F$16</f>
        <v>4858.3921652960526</v>
      </c>
      <c r="G21" s="462">
        <f t="shared" ref="G21:G30" si="7">G4*$G$16</f>
        <v>0</v>
      </c>
      <c r="H21" s="462">
        <f t="shared" ref="H21:H30" si="8">H4*$H$16</f>
        <v>0</v>
      </c>
      <c r="I21" s="462">
        <f t="shared" ref="I21:I30" si="9">I4*$I$16</f>
        <v>0</v>
      </c>
      <c r="J21" s="462">
        <f t="shared" ref="J21:J30" si="10">J4*$J$16</f>
        <v>2627.4626326939865</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18124.383670088333</v>
      </c>
    </row>
    <row r="22" spans="1:17">
      <c r="A22" s="461" t="s">
        <v>156</v>
      </c>
      <c r="B22" s="462">
        <f t="shared" ca="1" si="2"/>
        <v>2337.9510189316338</v>
      </c>
      <c r="C22" s="462">
        <f t="shared" ca="1" si="3"/>
        <v>0</v>
      </c>
      <c r="D22" s="462">
        <f t="shared" ca="1" si="4"/>
        <v>1059.4267391165001</v>
      </c>
      <c r="E22" s="462">
        <f t="shared" si="5"/>
        <v>13.761388196024525</v>
      </c>
      <c r="F22" s="462">
        <f t="shared" ca="1" si="6"/>
        <v>426.90012985972908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3838.0392761038875</v>
      </c>
    </row>
    <row r="23" spans="1:17">
      <c r="A23" s="461" t="s">
        <v>194</v>
      </c>
      <c r="B23" s="462">
        <f t="shared" ca="1" si="2"/>
        <v>121.34761174366373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121.34761174366373</v>
      </c>
    </row>
    <row r="24" spans="1:17">
      <c r="A24" s="461" t="s">
        <v>112</v>
      </c>
      <c r="B24" s="462">
        <f t="shared" ca="1" si="2"/>
        <v>239.72941171747752</v>
      </c>
      <c r="C24" s="462">
        <f t="shared" ca="1" si="3"/>
        <v>0</v>
      </c>
      <c r="D24" s="462">
        <f t="shared" si="4"/>
        <v>139.88187720555624</v>
      </c>
      <c r="E24" s="462">
        <f t="shared" si="5"/>
        <v>2.6834057470254211</v>
      </c>
      <c r="F24" s="462">
        <f t="shared" si="6"/>
        <v>1093.329836990097</v>
      </c>
      <c r="G24" s="462">
        <f t="shared" si="7"/>
        <v>0</v>
      </c>
      <c r="H24" s="462">
        <f t="shared" si="8"/>
        <v>0</v>
      </c>
      <c r="I24" s="462">
        <f t="shared" si="9"/>
        <v>0</v>
      </c>
      <c r="J24" s="462">
        <f t="shared" si="10"/>
        <v>54.950131306932136</v>
      </c>
      <c r="K24" s="462">
        <f t="shared" si="11"/>
        <v>0</v>
      </c>
      <c r="L24" s="462">
        <f t="shared" si="12"/>
        <v>0</v>
      </c>
      <c r="M24" s="462">
        <f t="shared" si="13"/>
        <v>0</v>
      </c>
      <c r="N24" s="462">
        <f t="shared" si="14"/>
        <v>0</v>
      </c>
      <c r="O24" s="462">
        <f t="shared" si="15"/>
        <v>0</v>
      </c>
      <c r="P24" s="463">
        <f t="shared" si="16"/>
        <v>0</v>
      </c>
      <c r="Q24" s="461">
        <f t="shared" ca="1" si="17"/>
        <v>1530.5746629670884</v>
      </c>
    </row>
    <row r="25" spans="1:17">
      <c r="A25" s="461" t="s">
        <v>685</v>
      </c>
      <c r="B25" s="462">
        <f t="shared" ca="1" si="2"/>
        <v>4281.1202903713111</v>
      </c>
      <c r="C25" s="462">
        <f t="shared" ca="1" si="3"/>
        <v>0</v>
      </c>
      <c r="D25" s="462">
        <f t="shared" si="4"/>
        <v>13258.069816149513</v>
      </c>
      <c r="E25" s="462">
        <f t="shared" si="5"/>
        <v>45.526894566902953</v>
      </c>
      <c r="F25" s="462">
        <f t="shared" si="6"/>
        <v>1254.713757596988</v>
      </c>
      <c r="G25" s="462">
        <f t="shared" si="7"/>
        <v>0</v>
      </c>
      <c r="H25" s="462">
        <f t="shared" si="8"/>
        <v>0</v>
      </c>
      <c r="I25" s="462">
        <f t="shared" si="9"/>
        <v>0</v>
      </c>
      <c r="J25" s="462">
        <f t="shared" si="10"/>
        <v>38.292826692311948</v>
      </c>
      <c r="K25" s="462">
        <f t="shared" si="11"/>
        <v>0</v>
      </c>
      <c r="L25" s="462">
        <f t="shared" si="12"/>
        <v>0</v>
      </c>
      <c r="M25" s="462">
        <f t="shared" si="13"/>
        <v>0</v>
      </c>
      <c r="N25" s="462">
        <f t="shared" si="14"/>
        <v>0</v>
      </c>
      <c r="O25" s="462">
        <f t="shared" si="15"/>
        <v>0</v>
      </c>
      <c r="P25" s="463">
        <f t="shared" si="16"/>
        <v>0</v>
      </c>
      <c r="Q25" s="461">
        <f t="shared" ca="1" si="17"/>
        <v>18877.723585377022</v>
      </c>
    </row>
    <row r="26" spans="1:17" s="467" customFormat="1">
      <c r="A26" s="465" t="s">
        <v>579</v>
      </c>
      <c r="B26" s="823">
        <f t="shared" ca="1" si="2"/>
        <v>0.42249388727160037</v>
      </c>
      <c r="C26" s="466">
        <f t="shared" ca="1" si="3"/>
        <v>0</v>
      </c>
      <c r="D26" s="466">
        <f t="shared" si="4"/>
        <v>1.3253172995110323</v>
      </c>
      <c r="E26" s="466">
        <f t="shared" si="5"/>
        <v>98.072120224834379</v>
      </c>
      <c r="F26" s="466">
        <f t="shared" si="6"/>
        <v>0</v>
      </c>
      <c r="G26" s="466">
        <f t="shared" si="7"/>
        <v>22902.299139317027</v>
      </c>
      <c r="H26" s="466">
        <f t="shared" si="8"/>
        <v>3731.7308136866118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26733.849884415256</v>
      </c>
    </row>
    <row r="27" spans="1:17">
      <c r="A27" s="461" t="s">
        <v>569</v>
      </c>
      <c r="B27" s="462">
        <f t="shared" ca="1" si="2"/>
        <v>0</v>
      </c>
      <c r="C27" s="462">
        <f t="shared" ca="1" si="3"/>
        <v>0</v>
      </c>
      <c r="D27" s="462">
        <f t="shared" si="4"/>
        <v>0</v>
      </c>
      <c r="E27" s="462">
        <f t="shared" si="5"/>
        <v>0</v>
      </c>
      <c r="F27" s="462">
        <f t="shared" si="6"/>
        <v>0</v>
      </c>
      <c r="G27" s="462">
        <f t="shared" si="7"/>
        <v>207.34764708292317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207.34764708292317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11190.781724582608</v>
      </c>
      <c r="C31" s="472">
        <f t="shared" ca="1" si="18"/>
        <v>0</v>
      </c>
      <c r="D31" s="472">
        <f t="shared" ca="1" si="18"/>
        <v>20264.698549429078</v>
      </c>
      <c r="E31" s="472">
        <f t="shared" si="18"/>
        <v>782.36698324383258</v>
      </c>
      <c r="F31" s="472">
        <f t="shared" ca="1" si="18"/>
        <v>7633.3358897428661</v>
      </c>
      <c r="G31" s="472">
        <f t="shared" si="18"/>
        <v>23109.64678639995</v>
      </c>
      <c r="H31" s="472">
        <f t="shared" si="18"/>
        <v>3731.7308136866118</v>
      </c>
      <c r="I31" s="472">
        <f t="shared" si="18"/>
        <v>0</v>
      </c>
      <c r="J31" s="472">
        <f t="shared" si="18"/>
        <v>2720.7055906932305</v>
      </c>
      <c r="K31" s="472">
        <f t="shared" si="18"/>
        <v>0</v>
      </c>
      <c r="L31" s="472">
        <f t="shared" ca="1" si="18"/>
        <v>0</v>
      </c>
      <c r="M31" s="472">
        <f t="shared" si="18"/>
        <v>0</v>
      </c>
      <c r="N31" s="472">
        <f t="shared" ca="1" si="18"/>
        <v>0</v>
      </c>
      <c r="O31" s="472">
        <f t="shared" si="18"/>
        <v>0</v>
      </c>
      <c r="P31" s="473">
        <f t="shared" si="18"/>
        <v>0</v>
      </c>
      <c r="Q31" s="473">
        <f t="shared" ca="1" si="18"/>
        <v>69433.266337778172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0.19104805617358514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0.19104805617358514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0.19104805617358514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41063</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4084</v>
      </c>
      <c r="C9" s="338">
        <v>4327</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1454</v>
      </c>
    </row>
    <row r="15" spans="1:6">
      <c r="A15" s="1205" t="s">
        <v>184</v>
      </c>
      <c r="B15" s="335">
        <v>7</v>
      </c>
    </row>
    <row r="16" spans="1:6">
      <c r="A16" s="1205" t="s">
        <v>6</v>
      </c>
      <c r="B16" s="335">
        <v>234</v>
      </c>
    </row>
    <row r="17" spans="1:6">
      <c r="A17" s="1205" t="s">
        <v>7</v>
      </c>
      <c r="B17" s="335">
        <v>350</v>
      </c>
    </row>
    <row r="18" spans="1:6">
      <c r="A18" s="1205" t="s">
        <v>8</v>
      </c>
      <c r="B18" s="335">
        <v>463</v>
      </c>
    </row>
    <row r="19" spans="1:6">
      <c r="A19" s="1205" t="s">
        <v>9</v>
      </c>
      <c r="B19" s="335">
        <v>494</v>
      </c>
    </row>
    <row r="20" spans="1:6">
      <c r="A20" s="1205" t="s">
        <v>10</v>
      </c>
      <c r="B20" s="335">
        <v>472</v>
      </c>
    </row>
    <row r="21" spans="1:6">
      <c r="A21" s="1205" t="s">
        <v>11</v>
      </c>
      <c r="B21" s="335">
        <v>0</v>
      </c>
    </row>
    <row r="22" spans="1:6">
      <c r="A22" s="1205" t="s">
        <v>12</v>
      </c>
      <c r="B22" s="335">
        <v>107</v>
      </c>
    </row>
    <row r="23" spans="1:6">
      <c r="A23" s="1205" t="s">
        <v>13</v>
      </c>
      <c r="B23" s="335">
        <v>0</v>
      </c>
    </row>
    <row r="24" spans="1:6">
      <c r="A24" s="1205" t="s">
        <v>14</v>
      </c>
      <c r="B24" s="335">
        <v>0</v>
      </c>
    </row>
    <row r="25" spans="1:6">
      <c r="A25" s="1205" t="s">
        <v>15</v>
      </c>
      <c r="B25" s="335">
        <v>0</v>
      </c>
    </row>
    <row r="26" spans="1:6">
      <c r="A26" s="1205" t="s">
        <v>16</v>
      </c>
      <c r="B26" s="335">
        <v>112</v>
      </c>
    </row>
    <row r="27" spans="1:6">
      <c r="A27" s="1205" t="s">
        <v>17</v>
      </c>
      <c r="B27" s="335">
        <v>280</v>
      </c>
    </row>
    <row r="28" spans="1:6" s="341" customFormat="1">
      <c r="A28" s="1206" t="s">
        <v>18</v>
      </c>
      <c r="B28" s="1206">
        <v>16474</v>
      </c>
    </row>
    <row r="29" spans="1:6">
      <c r="A29" s="1206" t="s">
        <v>873</v>
      </c>
      <c r="B29" s="1206">
        <v>96</v>
      </c>
      <c r="C29" s="341"/>
      <c r="D29" s="341"/>
      <c r="E29" s="341"/>
      <c r="F29" s="341"/>
    </row>
    <row r="30" spans="1:6">
      <c r="A30" s="1201" t="s">
        <v>874</v>
      </c>
      <c r="B30" s="1201">
        <v>11</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3</v>
      </c>
      <c r="F38" s="335">
        <v>22318.1434136588</v>
      </c>
    </row>
    <row r="39" spans="1:6">
      <c r="A39" s="1205" t="s">
        <v>30</v>
      </c>
      <c r="B39" s="1205" t="s">
        <v>31</v>
      </c>
      <c r="C39" s="335">
        <v>1762</v>
      </c>
      <c r="D39" s="335">
        <v>31865353.118800901</v>
      </c>
      <c r="E39" s="335">
        <v>3993</v>
      </c>
      <c r="F39" s="335">
        <v>20487299.486713801</v>
      </c>
    </row>
    <row r="40" spans="1:6">
      <c r="A40" s="1205" t="s">
        <v>30</v>
      </c>
      <c r="B40" s="1205" t="s">
        <v>29</v>
      </c>
      <c r="C40" s="335">
        <v>0</v>
      </c>
      <c r="D40" s="335">
        <v>0</v>
      </c>
      <c r="E40" s="335">
        <v>0</v>
      </c>
      <c r="F40" s="335">
        <v>0</v>
      </c>
    </row>
    <row r="41" spans="1:6">
      <c r="A41" s="1205" t="s">
        <v>32</v>
      </c>
      <c r="B41" s="1205" t="s">
        <v>33</v>
      </c>
      <c r="C41" s="335">
        <v>5</v>
      </c>
      <c r="D41" s="335">
        <v>137528.423267412</v>
      </c>
      <c r="E41" s="335">
        <v>70</v>
      </c>
      <c r="F41" s="335">
        <v>540348.62846670102</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3</v>
      </c>
      <c r="F44" s="335">
        <v>27283.8405502518</v>
      </c>
    </row>
    <row r="45" spans="1:6">
      <c r="A45" s="1205" t="s">
        <v>32</v>
      </c>
      <c r="B45" s="1205" t="s">
        <v>37</v>
      </c>
      <c r="C45" s="335">
        <v>0</v>
      </c>
      <c r="D45" s="335">
        <v>0</v>
      </c>
      <c r="E45" s="335">
        <v>5</v>
      </c>
      <c r="F45" s="335">
        <v>34089.693045708998</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28</v>
      </c>
      <c r="D48" s="335">
        <v>72627448.284979999</v>
      </c>
      <c r="E48" s="335">
        <v>40</v>
      </c>
      <c r="F48" s="335">
        <v>21366342.1277242</v>
      </c>
    </row>
    <row r="49" spans="1:6">
      <c r="A49" s="1205" t="s">
        <v>32</v>
      </c>
      <c r="B49" s="1205" t="s">
        <v>40</v>
      </c>
      <c r="C49" s="335">
        <v>0</v>
      </c>
      <c r="D49" s="335">
        <v>0</v>
      </c>
      <c r="E49" s="335">
        <v>0</v>
      </c>
      <c r="F49" s="335">
        <v>0</v>
      </c>
    </row>
    <row r="50" spans="1:6">
      <c r="A50" s="1205" t="s">
        <v>32</v>
      </c>
      <c r="B50" s="1205" t="s">
        <v>41</v>
      </c>
      <c r="C50" s="335">
        <v>0</v>
      </c>
      <c r="D50" s="335">
        <v>0</v>
      </c>
      <c r="E50" s="335">
        <v>14</v>
      </c>
      <c r="F50" s="335">
        <v>440539.996045337</v>
      </c>
    </row>
    <row r="51" spans="1:6">
      <c r="A51" s="1205" t="s">
        <v>42</v>
      </c>
      <c r="B51" s="1205" t="s">
        <v>43</v>
      </c>
      <c r="C51" s="335">
        <v>4</v>
      </c>
      <c r="D51" s="335">
        <v>76926.900837192996</v>
      </c>
      <c r="E51" s="335">
        <v>72</v>
      </c>
      <c r="F51" s="335">
        <v>1203622.4816582799</v>
      </c>
    </row>
    <row r="52" spans="1:6">
      <c r="A52" s="1205" t="s">
        <v>42</v>
      </c>
      <c r="B52" s="1205" t="s">
        <v>29</v>
      </c>
      <c r="C52" s="335">
        <v>1</v>
      </c>
      <c r="D52" s="335">
        <v>36254.743525304002</v>
      </c>
      <c r="E52" s="335">
        <v>11</v>
      </c>
      <c r="F52" s="335">
        <v>51189.613889349203</v>
      </c>
    </row>
    <row r="53" spans="1:6">
      <c r="A53" s="1205" t="s">
        <v>44</v>
      </c>
      <c r="B53" s="1205" t="s">
        <v>45</v>
      </c>
      <c r="C53" s="335">
        <v>27</v>
      </c>
      <c r="D53" s="335">
        <v>654539.57583879505</v>
      </c>
      <c r="E53" s="335">
        <v>89</v>
      </c>
      <c r="F53" s="335">
        <v>562792.27632903401</v>
      </c>
    </row>
    <row r="54" spans="1:6">
      <c r="A54" s="1205" t="s">
        <v>46</v>
      </c>
      <c r="B54" s="1205" t="s">
        <v>47</v>
      </c>
      <c r="C54" s="335">
        <v>0</v>
      </c>
      <c r="D54" s="335">
        <v>0</v>
      </c>
      <c r="E54" s="335">
        <v>5</v>
      </c>
      <c r="F54" s="335">
        <v>635168</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16</v>
      </c>
      <c r="D57" s="335">
        <v>503708.45351088501</v>
      </c>
      <c r="E57" s="335">
        <v>78</v>
      </c>
      <c r="F57" s="335">
        <v>1764294.09794757</v>
      </c>
    </row>
    <row r="58" spans="1:6">
      <c r="A58" s="1205" t="s">
        <v>49</v>
      </c>
      <c r="B58" s="1205" t="s">
        <v>51</v>
      </c>
      <c r="C58" s="335">
        <v>11</v>
      </c>
      <c r="D58" s="335">
        <v>207006.38124255999</v>
      </c>
      <c r="E58" s="335">
        <v>25</v>
      </c>
      <c r="F58" s="335">
        <v>607636.97211238102</v>
      </c>
    </row>
    <row r="59" spans="1:6">
      <c r="A59" s="1205" t="s">
        <v>49</v>
      </c>
      <c r="B59" s="1205" t="s">
        <v>52</v>
      </c>
      <c r="C59" s="335">
        <v>6</v>
      </c>
      <c r="D59" s="335">
        <v>217937.499779501</v>
      </c>
      <c r="E59" s="335">
        <v>83</v>
      </c>
      <c r="F59" s="335">
        <v>2063613.1513819599</v>
      </c>
    </row>
    <row r="60" spans="1:6">
      <c r="A60" s="1205" t="s">
        <v>49</v>
      </c>
      <c r="B60" s="1205" t="s">
        <v>53</v>
      </c>
      <c r="C60" s="335">
        <v>21</v>
      </c>
      <c r="D60" s="335">
        <v>474012.27535647701</v>
      </c>
      <c r="E60" s="335">
        <v>31</v>
      </c>
      <c r="F60" s="335">
        <v>435161.02176467399</v>
      </c>
    </row>
    <row r="61" spans="1:6">
      <c r="A61" s="1205" t="s">
        <v>49</v>
      </c>
      <c r="B61" s="1205" t="s">
        <v>54</v>
      </c>
      <c r="C61" s="335">
        <v>39</v>
      </c>
      <c r="D61" s="335">
        <v>2032271.3038405699</v>
      </c>
      <c r="E61" s="335">
        <v>81</v>
      </c>
      <c r="F61" s="335">
        <v>796204.43305402598</v>
      </c>
    </row>
    <row r="62" spans="1:6">
      <c r="A62" s="1205" t="s">
        <v>49</v>
      </c>
      <c r="B62" s="1205" t="s">
        <v>55</v>
      </c>
      <c r="C62" s="335">
        <v>0</v>
      </c>
      <c r="D62" s="335">
        <v>0</v>
      </c>
      <c r="E62" s="335">
        <v>3</v>
      </c>
      <c r="F62" s="335">
        <v>38161.776386190002</v>
      </c>
    </row>
    <row r="63" spans="1:6">
      <c r="A63" s="1205" t="s">
        <v>49</v>
      </c>
      <c r="B63" s="1205" t="s">
        <v>29</v>
      </c>
      <c r="C63" s="335">
        <v>67</v>
      </c>
      <c r="D63" s="335">
        <v>2379572.7639966202</v>
      </c>
      <c r="E63" s="335">
        <v>110</v>
      </c>
      <c r="F63" s="335">
        <v>1222430.8059858901</v>
      </c>
    </row>
    <row r="64" spans="1:6">
      <c r="A64" s="1205" t="s">
        <v>56</v>
      </c>
      <c r="B64" s="1205" t="s">
        <v>57</v>
      </c>
      <c r="C64" s="335">
        <v>0</v>
      </c>
      <c r="D64" s="335">
        <v>0</v>
      </c>
      <c r="E64" s="335">
        <v>0</v>
      </c>
      <c r="F64" s="335">
        <v>0</v>
      </c>
    </row>
    <row r="65" spans="1:6">
      <c r="A65" s="1205" t="s">
        <v>56</v>
      </c>
      <c r="B65" s="1205" t="s">
        <v>29</v>
      </c>
      <c r="C65" s="335">
        <v>1</v>
      </c>
      <c r="D65" s="335">
        <v>16575.500709746</v>
      </c>
      <c r="E65" s="335">
        <v>2</v>
      </c>
      <c r="F65" s="335">
        <v>50612.8464861916</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7</v>
      </c>
      <c r="F68" s="335">
        <v>466109.38018960098</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10750616</v>
      </c>
      <c r="E73" s="335">
        <v>11378176.174970282</v>
      </c>
    </row>
    <row r="74" spans="1:6">
      <c r="A74" s="1205" t="s">
        <v>64</v>
      </c>
      <c r="B74" s="1205" t="s">
        <v>772</v>
      </c>
      <c r="C74" s="1216" t="s">
        <v>766</v>
      </c>
      <c r="D74" s="335">
        <v>686990.11793902249</v>
      </c>
      <c r="E74" s="335">
        <v>731054.98611974146</v>
      </c>
    </row>
    <row r="75" spans="1:6">
      <c r="A75" s="1205" t="s">
        <v>65</v>
      </c>
      <c r="B75" s="1205" t="s">
        <v>771</v>
      </c>
      <c r="C75" s="1216" t="s">
        <v>767</v>
      </c>
      <c r="D75" s="335">
        <v>25409479</v>
      </c>
      <c r="E75" s="335">
        <v>26706909.220792782</v>
      </c>
    </row>
    <row r="76" spans="1:6">
      <c r="A76" s="1205" t="s">
        <v>65</v>
      </c>
      <c r="B76" s="1205" t="s">
        <v>772</v>
      </c>
      <c r="C76" s="1216" t="s">
        <v>768</v>
      </c>
      <c r="D76" s="335">
        <v>998596.11793902249</v>
      </c>
      <c r="E76" s="335">
        <v>1056445.8714268995</v>
      </c>
    </row>
    <row r="77" spans="1:6">
      <c r="A77" s="1205" t="s">
        <v>66</v>
      </c>
      <c r="B77" s="1205" t="s">
        <v>771</v>
      </c>
      <c r="C77" s="1216" t="s">
        <v>769</v>
      </c>
      <c r="D77" s="335">
        <v>68946866</v>
      </c>
      <c r="E77" s="335">
        <v>71167794.802546322</v>
      </c>
    </row>
    <row r="78" spans="1:6">
      <c r="A78" s="1201" t="s">
        <v>66</v>
      </c>
      <c r="B78" s="1201" t="s">
        <v>772</v>
      </c>
      <c r="C78" s="1201" t="s">
        <v>770</v>
      </c>
      <c r="D78" s="1201">
        <v>8970748</v>
      </c>
      <c r="E78" s="1201">
        <v>9602357.7001528163</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213293.76412195506</v>
      </c>
      <c r="C83" s="335">
        <v>204863.15924084117</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1550.1448205230949</v>
      </c>
    </row>
    <row r="92" spans="1:6">
      <c r="A92" s="1201" t="s">
        <v>69</v>
      </c>
      <c r="B92" s="338">
        <v>1078.5762019971526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484</v>
      </c>
    </row>
    <row r="98" spans="1:6">
      <c r="A98" s="1205" t="s">
        <v>72</v>
      </c>
      <c r="B98" s="335">
        <v>1</v>
      </c>
    </row>
    <row r="99" spans="1:6">
      <c r="A99" s="1205" t="s">
        <v>73</v>
      </c>
      <c r="B99" s="335">
        <v>64</v>
      </c>
    </row>
    <row r="100" spans="1:6">
      <c r="A100" s="1205" t="s">
        <v>74</v>
      </c>
      <c r="B100" s="335">
        <v>466</v>
      </c>
    </row>
    <row r="101" spans="1:6">
      <c r="A101" s="1205" t="s">
        <v>75</v>
      </c>
      <c r="B101" s="335">
        <v>58</v>
      </c>
    </row>
    <row r="102" spans="1:6">
      <c r="A102" s="1205" t="s">
        <v>76</v>
      </c>
      <c r="B102" s="335">
        <v>82</v>
      </c>
    </row>
    <row r="103" spans="1:6">
      <c r="A103" s="1205" t="s">
        <v>77</v>
      </c>
      <c r="B103" s="335">
        <v>363</v>
      </c>
    </row>
    <row r="104" spans="1:6">
      <c r="A104" s="1205" t="s">
        <v>78</v>
      </c>
      <c r="B104" s="335">
        <v>2072</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10</v>
      </c>
      <c r="C123" s="335">
        <v>16</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38</v>
      </c>
    </row>
    <row r="130" spans="1:6">
      <c r="A130" s="1205" t="s">
        <v>295</v>
      </c>
      <c r="B130" s="335">
        <v>0</v>
      </c>
    </row>
    <row r="131" spans="1:6">
      <c r="A131" s="1205" t="s">
        <v>296</v>
      </c>
      <c r="B131" s="335">
        <v>0</v>
      </c>
    </row>
    <row r="132" spans="1:6">
      <c r="A132" s="1201" t="s">
        <v>297</v>
      </c>
      <c r="B132" s="338">
        <v>12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58575.742400722091</v>
      </c>
      <c r="C3" s="44" t="s">
        <v>170</v>
      </c>
      <c r="D3" s="44"/>
      <c r="E3" s="157"/>
      <c r="F3" s="44"/>
      <c r="G3" s="44"/>
      <c r="H3" s="44"/>
      <c r="I3" s="44"/>
      <c r="J3" s="44"/>
      <c r="K3" s="97"/>
    </row>
    <row r="4" spans="1:11">
      <c r="A4" s="365" t="s">
        <v>171</v>
      </c>
      <c r="B4" s="50">
        <f>IF(ISERROR('SEAP template'!B69),0,'SEAP template'!B69)</f>
        <v>7938.7210225202471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0.19104805617358514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635.16800000000001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635.16800000000001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0.19104805617358514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121.34761174366373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20487.2994867138</v>
      </c>
      <c r="C5" s="18">
        <f>IF(ISERROR('Eigen informatie GS &amp; warmtenet'!B57),0,'Eigen informatie GS &amp; warmtenet'!B57)</f>
        <v>0</v>
      </c>
      <c r="D5" s="31">
        <f>(SUM(HH_hh_gas_kWh,HH_rest_gas_kWh)/1000)*0.902</f>
        <v>28742.548513158414</v>
      </c>
      <c r="E5" s="18">
        <f>B46*B57</f>
        <v>2741.5117819781731</v>
      </c>
      <c r="F5" s="18">
        <f>B51*B62</f>
        <v>18196.225338187462</v>
      </c>
      <c r="G5" s="19"/>
      <c r="H5" s="18"/>
      <c r="I5" s="18"/>
      <c r="J5" s="18">
        <f>B50*B61+C50*C61</f>
        <v>7422.2108268191714</v>
      </c>
      <c r="K5" s="18"/>
      <c r="L5" s="18"/>
      <c r="M5" s="18"/>
      <c r="N5" s="18">
        <f>B48*B59+C48*C59</f>
        <v>8068.5031100448477</v>
      </c>
      <c r="O5" s="18">
        <f>B69*B70*B71</f>
        <v>84.42</v>
      </c>
      <c r="P5" s="18">
        <f>B77*B78*B79/1000-B77*B78*B79/1000/B80</f>
        <v>419.4666666666667</v>
      </c>
    </row>
    <row r="6" spans="1:16">
      <c r="A6" s="17" t="s">
        <v>639</v>
      </c>
      <c r="B6" s="831">
        <f>kWh_PV_kleiner_dan_10kW</f>
        <v>1550.1448205230949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22037.444307236896</v>
      </c>
      <c r="C8" s="22">
        <f>C5</f>
        <v>0</v>
      </c>
      <c r="D8" s="22">
        <f>D5</f>
        <v>28742.548513158414</v>
      </c>
      <c r="E8" s="22">
        <f>E5</f>
        <v>2741.5117819781731</v>
      </c>
      <c r="F8" s="22">
        <f>F5</f>
        <v>18196.225338187462</v>
      </c>
      <c r="G8" s="22"/>
      <c r="H8" s="22"/>
      <c r="I8" s="22"/>
      <c r="J8" s="22">
        <f>J5</f>
        <v>7422.2108268191714</v>
      </c>
      <c r="K8" s="22"/>
      <c r="L8" s="22">
        <f>L5</f>
        <v>0</v>
      </c>
      <c r="M8" s="22">
        <f>M5</f>
        <v>0</v>
      </c>
      <c r="N8" s="22">
        <f>N5</f>
        <v>8068.5031100448477</v>
      </c>
      <c r="O8" s="22">
        <f>O5</f>
        <v>84.42</v>
      </c>
      <c r="P8" s="22">
        <f>P5</f>
        <v>419.4666666666667</v>
      </c>
    </row>
    <row r="9" spans="1:16">
      <c r="B9" s="20"/>
      <c r="C9" s="20"/>
      <c r="D9" s="262"/>
      <c r="E9" s="20"/>
      <c r="F9" s="20"/>
      <c r="G9" s="20"/>
      <c r="H9" s="20"/>
      <c r="I9" s="20"/>
      <c r="J9" s="20"/>
      <c r="K9" s="20"/>
      <c r="L9" s="20"/>
      <c r="M9" s="20"/>
      <c r="N9" s="20"/>
      <c r="O9" s="20"/>
      <c r="P9" s="20"/>
    </row>
    <row r="10" spans="1:16">
      <c r="A10" s="25" t="s">
        <v>214</v>
      </c>
      <c r="B10" s="26">
        <f ca="1">'EF ele_warmte'!B12</f>
        <v>0.19104805617358514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4210.2108979312488</v>
      </c>
      <c r="C12" s="24">
        <f ca="1">C10*C8</f>
        <v>0</v>
      </c>
      <c r="D12" s="24">
        <f>D8*D10</f>
        <v>5805.9947996580004</v>
      </c>
      <c r="E12" s="24">
        <f>E10*E8</f>
        <v>622.32317450904532</v>
      </c>
      <c r="F12" s="24">
        <f>F10*F8</f>
        <v>4858.3921652960526</v>
      </c>
      <c r="G12" s="24"/>
      <c r="H12" s="24"/>
      <c r="I12" s="24"/>
      <c r="J12" s="24">
        <f>J10*J8</f>
        <v>2627.4626326939865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484</v>
      </c>
      <c r="C18" s="169" t="s">
        <v>111</v>
      </c>
      <c r="D18" s="231"/>
      <c r="E18" s="16"/>
    </row>
    <row r="19" spans="1:7">
      <c r="A19" s="174" t="s">
        <v>72</v>
      </c>
      <c r="B19" s="38">
        <f>aantalw2001_ander</f>
        <v>1</v>
      </c>
      <c r="C19" s="169" t="s">
        <v>111</v>
      </c>
      <c r="D19" s="232"/>
      <c r="E19" s="16"/>
    </row>
    <row r="20" spans="1:7">
      <c r="A20" s="174" t="s">
        <v>73</v>
      </c>
      <c r="B20" s="38">
        <f>aantalw2001_propaan</f>
        <v>64</v>
      </c>
      <c r="C20" s="170">
        <f>IF(ISERROR(B20/SUM($B$20,$B$21,$B$22)*100),0,B20/SUM($B$20,$B$21,$B$22)*100)</f>
        <v>10.884353741496598</v>
      </c>
      <c r="D20" s="232"/>
      <c r="E20" s="16"/>
    </row>
    <row r="21" spans="1:7">
      <c r="A21" s="174" t="s">
        <v>74</v>
      </c>
      <c r="B21" s="38">
        <f>aantalw2001_elektriciteit</f>
        <v>466</v>
      </c>
      <c r="C21" s="170">
        <f>IF(ISERROR(B21/SUM($B$20,$B$21,$B$22)*100),0,B21/SUM($B$20,$B$21,$B$22)*100)</f>
        <v>79.251700680272108</v>
      </c>
      <c r="D21" s="232"/>
      <c r="E21" s="16"/>
    </row>
    <row r="22" spans="1:7">
      <c r="A22" s="174" t="s">
        <v>75</v>
      </c>
      <c r="B22" s="38">
        <f>aantalw2001_hout</f>
        <v>58</v>
      </c>
      <c r="C22" s="170">
        <f>IF(ISERROR(B22/SUM($B$20,$B$21,$B$22)*100),0,B22/SUM($B$20,$B$21,$B$22)*100)</f>
        <v>9.8639455782312915</v>
      </c>
      <c r="D22" s="232"/>
      <c r="E22" s="16"/>
    </row>
    <row r="23" spans="1:7">
      <c r="A23" s="174" t="s">
        <v>76</v>
      </c>
      <c r="B23" s="38">
        <f>aantalw2001_niet_gespec</f>
        <v>82</v>
      </c>
      <c r="C23" s="169" t="s">
        <v>111</v>
      </c>
      <c r="D23" s="231"/>
      <c r="E23" s="16"/>
    </row>
    <row r="24" spans="1:7">
      <c r="A24" s="174" t="s">
        <v>77</v>
      </c>
      <c r="B24" s="38">
        <f>aantalw2001_steenkool</f>
        <v>363</v>
      </c>
      <c r="C24" s="169" t="s">
        <v>111</v>
      </c>
      <c r="D24" s="232"/>
      <c r="E24" s="16"/>
    </row>
    <row r="25" spans="1:7">
      <c r="A25" s="174" t="s">
        <v>78</v>
      </c>
      <c r="B25" s="38">
        <f>aantalw2001_stookolie</f>
        <v>2072</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4084</v>
      </c>
      <c r="C28" s="37"/>
      <c r="D28" s="231"/>
    </row>
    <row r="29" spans="1:7" s="16" customFormat="1">
      <c r="A29" s="233" t="s">
        <v>666</v>
      </c>
      <c r="B29" s="38">
        <f>SUM(HH_hh_gas_aantal,HH_rest_gas_aantal)</f>
        <v>1762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1762</v>
      </c>
      <c r="C32" s="170">
        <f>IF(ISERROR(B32/SUM($B$32,$B$34,$B$35,$B$36,$B$38,$B$39)*100),0,B32/SUM($B$32,$B$34,$B$35,$B$36,$B$38,$B$39)*100)</f>
        <v>43.377646479566714</v>
      </c>
      <c r="D32" s="236"/>
      <c r="G32" s="16"/>
    </row>
    <row r="33" spans="1:7">
      <c r="A33" s="174" t="s">
        <v>72</v>
      </c>
      <c r="B33" s="35" t="s">
        <v>111</v>
      </c>
      <c r="C33" s="170"/>
      <c r="D33" s="236"/>
      <c r="G33" s="16"/>
    </row>
    <row r="34" spans="1:7">
      <c r="A34" s="174" t="s">
        <v>73</v>
      </c>
      <c r="B34" s="34">
        <f>IF((($B$28-$B$32-$B$39-$B$77-$B$38)*C20/100)&lt;0,0,($B$28-$B$32-$B$39-$B$77-$B$38)*C20/100)</f>
        <v>124.40816326530611</v>
      </c>
      <c r="C34" s="170">
        <f>IF(ISERROR(B34/SUM($B$32,$B$34,$B$35,$B$36,$B$38,$B$39)*100),0,B34/SUM($B$32,$B$34,$B$35,$B$36,$B$38,$B$39)*100)</f>
        <v>3.062731739667802</v>
      </c>
      <c r="D34" s="236"/>
      <c r="G34" s="16"/>
    </row>
    <row r="35" spans="1:7">
      <c r="A35" s="174" t="s">
        <v>74</v>
      </c>
      <c r="B35" s="34">
        <f>IF((($B$28-$B$32-$B$39-$B$77-$B$38)*C21/100)&lt;0,0,($B$28-$B$32-$B$39-$B$77-$B$38)*C21/100)</f>
        <v>905.84693877551024</v>
      </c>
      <c r="C35" s="170">
        <f>IF(ISERROR(B35/SUM($B$32,$B$34,$B$35,$B$36,$B$38,$B$39)*100),0,B35/SUM($B$32,$B$34,$B$35,$B$36,$B$38,$B$39)*100)</f>
        <v>22.300515479456184</v>
      </c>
      <c r="D35" s="236"/>
      <c r="G35" s="16"/>
    </row>
    <row r="36" spans="1:7">
      <c r="A36" s="174" t="s">
        <v>75</v>
      </c>
      <c r="B36" s="34">
        <f>IF((($B$28-$B$32-$B$39-$B$77-$B$38)*C22/100)&lt;0,0,($B$28-$B$32-$B$39-$B$77-$B$38)*C22/100)</f>
        <v>112.74489795918366</v>
      </c>
      <c r="C36" s="170">
        <f>IF(ISERROR(B36/SUM($B$32,$B$34,$B$35,$B$36,$B$38,$B$39)*100),0,B36/SUM($B$32,$B$34,$B$35,$B$36,$B$38,$B$39)*100)</f>
        <v>2.7756006390739456</v>
      </c>
      <c r="D36" s="236"/>
      <c r="G36" s="16"/>
    </row>
    <row r="37" spans="1:7">
      <c r="A37" s="174" t="s">
        <v>76</v>
      </c>
      <c r="B37" s="35" t="s">
        <v>111</v>
      </c>
      <c r="C37" s="170"/>
      <c r="D37" s="176"/>
      <c r="G37" s="16"/>
    </row>
    <row r="38" spans="1:7">
      <c r="A38" s="174" t="s">
        <v>77</v>
      </c>
      <c r="B38" s="34">
        <f>IF((B24-(B29-B18)*0.1)&lt;0,0,B24-(B29-B18)*0.1)</f>
        <v>235.2</v>
      </c>
      <c r="C38" s="170">
        <f>IF(ISERROR(B38/SUM($B$32,$B$34,$B$35,$B$36,$B$38,$B$39)*100),0,B38/SUM($B$32,$B$34,$B$35,$B$36,$B$38,$B$39)*100)</f>
        <v>5.7902511078286558</v>
      </c>
      <c r="D38" s="237"/>
      <c r="G38" s="16"/>
    </row>
    <row r="39" spans="1:7">
      <c r="A39" s="174" t="s">
        <v>78</v>
      </c>
      <c r="B39" s="34">
        <f>IF((B25-(B29-B18))&lt;0,0,B25-(B29-B18)*0.9)</f>
        <v>921.8</v>
      </c>
      <c r="C39" s="170">
        <f>IF(ISERROR(B39/SUM($B$32,$B$34,$B$35,$B$36,$B$38,$B$39)*100),0,B39/SUM($B$32,$B$34,$B$35,$B$36,$B$38,$B$39)*100)</f>
        <v>22.693254554406693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1762</v>
      </c>
      <c r="C44" s="35" t="s">
        <v>111</v>
      </c>
      <c r="D44" s="177"/>
    </row>
    <row r="45" spans="1:7">
      <c r="A45" s="174" t="s">
        <v>72</v>
      </c>
      <c r="B45" s="34" t="str">
        <f t="shared" si="0"/>
        <v>-</v>
      </c>
      <c r="C45" s="35" t="s">
        <v>111</v>
      </c>
      <c r="D45" s="177"/>
    </row>
    <row r="46" spans="1:7">
      <c r="A46" s="174" t="s">
        <v>73</v>
      </c>
      <c r="B46" s="34">
        <f t="shared" si="0"/>
        <v>124.40816326530611</v>
      </c>
      <c r="C46" s="35" t="s">
        <v>111</v>
      </c>
      <c r="D46" s="177"/>
    </row>
    <row r="47" spans="1:7">
      <c r="A47" s="174" t="s">
        <v>74</v>
      </c>
      <c r="B47" s="34">
        <f t="shared" si="0"/>
        <v>905.84693877551024</v>
      </c>
      <c r="C47" s="35" t="s">
        <v>111</v>
      </c>
      <c r="D47" s="177"/>
    </row>
    <row r="48" spans="1:7">
      <c r="A48" s="174" t="s">
        <v>75</v>
      </c>
      <c r="B48" s="34">
        <f t="shared" si="0"/>
        <v>112.74489795918366</v>
      </c>
      <c r="C48" s="34">
        <f>B48*10</f>
        <v>1127.4489795918366</v>
      </c>
      <c r="D48" s="237"/>
    </row>
    <row r="49" spans="1:6">
      <c r="A49" s="174" t="s">
        <v>76</v>
      </c>
      <c r="B49" s="34" t="str">
        <f t="shared" si="0"/>
        <v>-</v>
      </c>
      <c r="C49" s="35" t="s">
        <v>111</v>
      </c>
      <c r="D49" s="237"/>
    </row>
    <row r="50" spans="1:6">
      <c r="A50" s="174" t="s">
        <v>77</v>
      </c>
      <c r="B50" s="34">
        <f t="shared" si="0"/>
        <v>235.2</v>
      </c>
      <c r="C50" s="34">
        <f>B50*2</f>
        <v>470.4</v>
      </c>
      <c r="D50" s="237"/>
    </row>
    <row r="51" spans="1:6">
      <c r="A51" s="174" t="s">
        <v>78</v>
      </c>
      <c r="B51" s="34">
        <f t="shared" si="0"/>
        <v>921.8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6927.5022586326913</v>
      </c>
      <c r="C5" s="18">
        <f>IF(ISERROR('Eigen informatie GS &amp; warmtenet'!B58),0,'Eigen informatie GS &amp; warmtenet'!B58)</f>
        <v>0</v>
      </c>
      <c r="D5" s="31">
        <f>SUM(D6:D12)</f>
        <v>5244.686827309406</v>
      </c>
      <c r="E5" s="18">
        <f>SUM(E6:E12)</f>
        <v>60.622855489094817</v>
      </c>
      <c r="F5" s="18">
        <f>SUM(F6:F12)</f>
        <v>1598.8768908604084</v>
      </c>
      <c r="G5" s="19"/>
      <c r="H5" s="18"/>
      <c r="I5" s="18"/>
      <c r="J5" s="18">
        <f>SUM(J6:J12)</f>
        <v>0</v>
      </c>
      <c r="K5" s="18"/>
      <c r="L5" s="18"/>
      <c r="M5" s="18"/>
      <c r="N5" s="18">
        <f>SUM(N6:N12)</f>
        <v>1113.9971814894184</v>
      </c>
      <c r="O5" s="18">
        <f>B38*B39*B40</f>
        <v>0</v>
      </c>
      <c r="P5" s="18">
        <f>B46*B47*B48/1000-B46*B47*B48/1000/B49</f>
        <v>0</v>
      </c>
      <c r="R5" s="33"/>
    </row>
    <row r="6" spans="1:18">
      <c r="A6" s="33" t="s">
        <v>54</v>
      </c>
      <c r="B6" s="38">
        <f>B26</f>
        <v>796.20443305402603</v>
      </c>
      <c r="C6" s="34"/>
      <c r="D6" s="38">
        <f>IF(ISERROR(TER_kantoor_gas_kWh/1000),0,TER_kantoor_gas_kWh/1000)*0.902</f>
        <v>1833.1087160641941</v>
      </c>
      <c r="E6" s="34">
        <f>$C$26*'E Balans VL '!I12/100/3.6*1000000</f>
        <v>1.3067328460510872</v>
      </c>
      <c r="F6" s="34">
        <f>$C$26*('E Balans VL '!L12+'E Balans VL '!N12)/100/3.6*1000000</f>
        <v>93.853768984083473</v>
      </c>
      <c r="G6" s="35"/>
      <c r="H6" s="34"/>
      <c r="I6" s="34"/>
      <c r="J6" s="34">
        <f>$C$26*('E Balans VL '!D12+'E Balans VL '!E12)/100/3.6*1000000</f>
        <v>0</v>
      </c>
      <c r="K6" s="34"/>
      <c r="L6" s="34"/>
      <c r="M6" s="34"/>
      <c r="N6" s="34">
        <f>$C$26*'E Balans VL '!Y12/100/3.6*1000000</f>
        <v>0.16086933536190781</v>
      </c>
      <c r="O6" s="34"/>
      <c r="P6" s="34"/>
      <c r="R6" s="33"/>
    </row>
    <row r="7" spans="1:18">
      <c r="A7" s="33" t="s">
        <v>53</v>
      </c>
      <c r="B7" s="38">
        <f t="shared" ref="B7:B12" si="0">B27</f>
        <v>435.16102176467399</v>
      </c>
      <c r="C7" s="34"/>
      <c r="D7" s="38">
        <f>IF(ISERROR(TER_horeca_gas_kWh/1000),0,TER_horeca_gas_kWh/1000)*0.902</f>
        <v>427.55907237154224</v>
      </c>
      <c r="E7" s="34">
        <f>$C$27*'E Balans VL '!I9/100/3.6*1000000</f>
        <v>22.581708137049304</v>
      </c>
      <c r="F7" s="34">
        <f>$C$27*('E Balans VL '!L9+'E Balans VL '!N9)/100/3.6*1000000</f>
        <v>99.304060921100955</v>
      </c>
      <c r="G7" s="35"/>
      <c r="H7" s="34"/>
      <c r="I7" s="34"/>
      <c r="J7" s="34">
        <f>$C$27*('E Balans VL '!D9+'E Balans VL '!E9)/100/3.6*1000000</f>
        <v>0</v>
      </c>
      <c r="K7" s="34"/>
      <c r="L7" s="34"/>
      <c r="M7" s="34"/>
      <c r="N7" s="34">
        <f>$C$27*'E Balans VL '!Y9/100/3.6*1000000</f>
        <v>4.5952804477111128E-2</v>
      </c>
      <c r="O7" s="34"/>
      <c r="P7" s="34"/>
      <c r="R7" s="33"/>
    </row>
    <row r="8" spans="1:18">
      <c r="A8" s="6" t="s">
        <v>52</v>
      </c>
      <c r="B8" s="38">
        <f t="shared" si="0"/>
        <v>2063.6131513819601</v>
      </c>
      <c r="C8" s="34"/>
      <c r="D8" s="38">
        <f>IF(ISERROR(TER_handel_gas_kWh/1000),0,TER_handel_gas_kWh/1000)*0.902</f>
        <v>196.5796248011099</v>
      </c>
      <c r="E8" s="34">
        <f>$C$28*'E Balans VL '!I13/100/3.6*1000000</f>
        <v>11.112810404544074</v>
      </c>
      <c r="F8" s="34">
        <f>$C$28*('E Balans VL '!L13+'E Balans VL '!N13)/100/3.6*1000000</f>
        <v>420.83204662629106</v>
      </c>
      <c r="G8" s="35"/>
      <c r="H8" s="34"/>
      <c r="I8" s="34"/>
      <c r="J8" s="34">
        <f>$C$28*('E Balans VL '!D13+'E Balans VL '!E13)/100/3.6*1000000</f>
        <v>0</v>
      </c>
      <c r="K8" s="34"/>
      <c r="L8" s="34"/>
      <c r="M8" s="34"/>
      <c r="N8" s="34">
        <f>$C$28*'E Balans VL '!Y13/100/3.6*1000000</f>
        <v>10.261258438939581</v>
      </c>
      <c r="O8" s="34"/>
      <c r="P8" s="34"/>
      <c r="R8" s="33"/>
    </row>
    <row r="9" spans="1:18">
      <c r="A9" s="33" t="s">
        <v>51</v>
      </c>
      <c r="B9" s="38">
        <f t="shared" si="0"/>
        <v>607.63697211238105</v>
      </c>
      <c r="C9" s="34"/>
      <c r="D9" s="38">
        <f>IF(ISERROR(TER_gezond_gas_kWh/1000),0,TER_gezond_gas_kWh/1000)*0.902</f>
        <v>186.71975588078911</v>
      </c>
      <c r="E9" s="34">
        <f>$C$29*'E Balans VL '!I10/100/3.6*1000000</f>
        <v>0.60217514938241867</v>
      </c>
      <c r="F9" s="34">
        <f>$C$29*('E Balans VL '!L10+'E Balans VL '!N10)/100/3.6*1000000</f>
        <v>210.83251485920621</v>
      </c>
      <c r="G9" s="35"/>
      <c r="H9" s="34"/>
      <c r="I9" s="34"/>
      <c r="J9" s="34">
        <f>$C$29*('E Balans VL '!D10+'E Balans VL '!E10)/100/3.6*1000000</f>
        <v>0</v>
      </c>
      <c r="K9" s="34"/>
      <c r="L9" s="34"/>
      <c r="M9" s="34"/>
      <c r="N9" s="34">
        <f>$C$29*'E Balans VL '!Y10/100/3.6*1000000</f>
        <v>5.2359551493538623</v>
      </c>
      <c r="O9" s="34"/>
      <c r="P9" s="34"/>
      <c r="R9" s="33"/>
    </row>
    <row r="10" spans="1:18">
      <c r="A10" s="33" t="s">
        <v>50</v>
      </c>
      <c r="B10" s="38">
        <f t="shared" si="0"/>
        <v>1764.29409794757</v>
      </c>
      <c r="C10" s="34"/>
      <c r="D10" s="38">
        <f>IF(ISERROR(TER_ander_gas_kWh/1000),0,TER_ander_gas_kWh/1000)*0.902</f>
        <v>454.34502506681832</v>
      </c>
      <c r="E10" s="34">
        <f>$C$30*'E Balans VL '!I14/100/3.6*1000000</f>
        <v>14.433689007584581</v>
      </c>
      <c r="F10" s="34">
        <f>$C$30*('E Balans VL '!L14+'E Balans VL '!N14)/100/3.6*1000000</f>
        <v>515.80776685230308</v>
      </c>
      <c r="G10" s="35"/>
      <c r="H10" s="34"/>
      <c r="I10" s="34"/>
      <c r="J10" s="34">
        <f>$C$30*('E Balans VL '!D14+'E Balans VL '!E14)/100/3.6*1000000</f>
        <v>0</v>
      </c>
      <c r="K10" s="34"/>
      <c r="L10" s="34"/>
      <c r="M10" s="34"/>
      <c r="N10" s="34">
        <f>$C$30*'E Balans VL '!Y14/100/3.6*1000000</f>
        <v>1017.7661995700638</v>
      </c>
      <c r="O10" s="34"/>
      <c r="P10" s="34"/>
      <c r="R10" s="33"/>
    </row>
    <row r="11" spans="1:18">
      <c r="A11" s="33" t="s">
        <v>55</v>
      </c>
      <c r="B11" s="38">
        <f t="shared" si="0"/>
        <v>38.161776386189999</v>
      </c>
      <c r="C11" s="34"/>
      <c r="D11" s="38">
        <f>IF(ISERROR(TER_onderwijs_gas_kWh/1000),0,TER_onderwijs_gas_kWh/1000)*0.902</f>
        <v>0</v>
      </c>
      <c r="E11" s="34">
        <f>$C$31*'E Balans VL '!I11/100/3.6*1000000</f>
        <v>2.3521308759237684E-2</v>
      </c>
      <c r="F11" s="34">
        <f>$C$31*('E Balans VL '!L11+'E Balans VL '!N11)/100/3.6*1000000</f>
        <v>14.753960768250092</v>
      </c>
      <c r="G11" s="35"/>
      <c r="H11" s="34"/>
      <c r="I11" s="34"/>
      <c r="J11" s="34">
        <f>$C$31*('E Balans VL '!D11+'E Balans VL '!E11)/100/3.6*1000000</f>
        <v>0</v>
      </c>
      <c r="K11" s="34"/>
      <c r="L11" s="34"/>
      <c r="M11" s="34"/>
      <c r="N11" s="34">
        <f>$C$31*'E Balans VL '!Y11/100/3.6*1000000</f>
        <v>0.12413208069020631</v>
      </c>
      <c r="O11" s="34"/>
      <c r="P11" s="34"/>
      <c r="R11" s="33"/>
    </row>
    <row r="12" spans="1:18">
      <c r="A12" s="33" t="s">
        <v>260</v>
      </c>
      <c r="B12" s="38">
        <f t="shared" si="0"/>
        <v>1222.4308059858902</v>
      </c>
      <c r="C12" s="34"/>
      <c r="D12" s="38">
        <f>IF(ISERROR(TER_rest_gas_kWh/1000),0,TER_rest_gas_kWh/1000)*0.902</f>
        <v>2146.3746331249517</v>
      </c>
      <c r="E12" s="34">
        <f>$C$32*'E Balans VL '!I8/100/3.6*1000000</f>
        <v>10.562218635724115</v>
      </c>
      <c r="F12" s="34">
        <f>$C$32*('E Balans VL '!L8+'E Balans VL '!N8)/100/3.6*1000000</f>
        <v>243.49277184917349</v>
      </c>
      <c r="G12" s="35"/>
      <c r="H12" s="34"/>
      <c r="I12" s="34"/>
      <c r="J12" s="34">
        <f>$C$32*('E Balans VL '!D8+'E Balans VL '!E8)/100/3.6*1000000</f>
        <v>0</v>
      </c>
      <c r="K12" s="34"/>
      <c r="L12" s="34"/>
      <c r="M12" s="34"/>
      <c r="N12" s="34">
        <f>$C$32*'E Balans VL '!Y8/100/3.6*1000000</f>
        <v>80.402814110531921</v>
      </c>
      <c r="O12" s="34"/>
      <c r="P12" s="34"/>
      <c r="R12" s="33"/>
    </row>
    <row r="13" spans="1:18">
      <c r="A13" s="17" t="s">
        <v>502</v>
      </c>
      <c r="B13" s="250">
        <f ca="1">'lokale energieproductie'!N90+'lokale energieproductie'!N59</f>
        <v>5310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-15171.428571428572</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12237.502258632692</v>
      </c>
      <c r="C16" s="22">
        <f t="shared" ca="1" si="1"/>
        <v>0</v>
      </c>
      <c r="D16" s="22">
        <f t="shared" ca="1" si="1"/>
        <v>5244.686827309406</v>
      </c>
      <c r="E16" s="22">
        <f t="shared" si="1"/>
        <v>60.622855489094817</v>
      </c>
      <c r="F16" s="22">
        <f t="shared" ca="1" si="1"/>
        <v>1598.8768908604084</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0.19104805617358514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2337.9510189316338</v>
      </c>
      <c r="C20" s="24">
        <f t="shared" ref="C20:P20" ca="1" si="2">C16*C18</f>
        <v>0</v>
      </c>
      <c r="D20" s="24">
        <f t="shared" ca="1" si="2"/>
        <v>1059.4267391165001</v>
      </c>
      <c r="E20" s="24">
        <f t="shared" si="2"/>
        <v>13.761388196024525</v>
      </c>
      <c r="F20" s="24">
        <f t="shared" ca="1" si="2"/>
        <v>426.90012985972908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796.20443305402603</v>
      </c>
      <c r="C26" s="40">
        <f>IF(ISERROR(B26*3.6/1000000/'E Balans VL '!Z12*100),0,B26*3.6/1000000/'E Balans VL '!Z12*100)</f>
        <v>1.6918773219481979E-2</v>
      </c>
      <c r="D26" s="240" t="s">
        <v>707</v>
      </c>
      <c r="F26" s="6"/>
    </row>
    <row r="27" spans="1:18">
      <c r="A27" s="234" t="s">
        <v>53</v>
      </c>
      <c r="B27" s="34">
        <f>IF(ISERROR(TER_horeca_ele_kWh/1000),0,TER_horeca_ele_kWh/1000)</f>
        <v>435.16102176467399</v>
      </c>
      <c r="C27" s="40">
        <f>IF(ISERROR(B27*3.6/1000000/'E Balans VL '!Z9*100),0,B27*3.6/1000000/'E Balans VL '!Z9*100)</f>
        <v>3.4250537498467924E-2</v>
      </c>
      <c r="D27" s="240" t="s">
        <v>707</v>
      </c>
      <c r="F27" s="6"/>
    </row>
    <row r="28" spans="1:18">
      <c r="A28" s="174" t="s">
        <v>52</v>
      </c>
      <c r="B28" s="34">
        <f>IF(ISERROR(TER_handel_ele_kWh/1000),0,TER_handel_ele_kWh/1000)</f>
        <v>2063.6131513819601</v>
      </c>
      <c r="C28" s="40">
        <f>IF(ISERROR(B28*3.6/1000000/'E Balans VL '!Z13*100),0,B28*3.6/1000000/'E Balans VL '!Z13*100)</f>
        <v>5.7802908772365838E-2</v>
      </c>
      <c r="D28" s="240" t="s">
        <v>707</v>
      </c>
      <c r="F28" s="6"/>
    </row>
    <row r="29" spans="1:18">
      <c r="A29" s="234" t="s">
        <v>51</v>
      </c>
      <c r="B29" s="34">
        <f>IF(ISERROR(TER_gezond_ele_kWh/1000),0,TER_gezond_ele_kWh/1000)</f>
        <v>607.63697211238105</v>
      </c>
      <c r="C29" s="40">
        <f>IF(ISERROR(B29*3.6/1000000/'E Balans VL '!Z10*100),0,B29*3.6/1000000/'E Balans VL '!Z10*100)</f>
        <v>7.773514293520041E-2</v>
      </c>
      <c r="D29" s="240" t="s">
        <v>707</v>
      </c>
      <c r="F29" s="6"/>
    </row>
    <row r="30" spans="1:18">
      <c r="A30" s="234" t="s">
        <v>50</v>
      </c>
      <c r="B30" s="34">
        <f>IF(ISERROR(TER_ander_ele_kWh/1000),0,TER_ander_ele_kWh/1000)</f>
        <v>1764.29409794757</v>
      </c>
      <c r="C30" s="40">
        <f>IF(ISERROR(B30*3.6/1000000/'E Balans VL '!Z14*100),0,B30*3.6/1000000/'E Balans VL '!Z14*100)</f>
        <v>0.13195433232471274</v>
      </c>
      <c r="D30" s="240" t="s">
        <v>707</v>
      </c>
      <c r="F30" s="6"/>
    </row>
    <row r="31" spans="1:18">
      <c r="A31" s="234" t="s">
        <v>55</v>
      </c>
      <c r="B31" s="34">
        <f>IF(ISERROR(TER_onderwijs_ele_kWh/1000),0,TER_onderwijs_ele_kWh/1000)</f>
        <v>38.161776386189999</v>
      </c>
      <c r="C31" s="40">
        <f>IF(ISERROR(B31*3.6/1000000/'E Balans VL '!Z11*100),0,B31*3.6/1000000/'E Balans VL '!Z11*100)</f>
        <v>8.0579085160796069E-3</v>
      </c>
      <c r="D31" s="240" t="s">
        <v>707</v>
      </c>
    </row>
    <row r="32" spans="1:18">
      <c r="A32" s="234" t="s">
        <v>260</v>
      </c>
      <c r="B32" s="34">
        <f>IF(ISERROR(TER_rest_ele_kWh/1000),0,TER_rest_ele_kWh/1000)</f>
        <v>1222.4308059858902</v>
      </c>
      <c r="C32" s="40">
        <f>IF(ISERROR(B32*3.6/1000000/'E Balans VL '!Z8*100),0,B32*3.6/1000000/'E Balans VL '!Z8*100)</f>
        <v>1.0070301934412421E-2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22408.6042858322</v>
      </c>
      <c r="C5" s="18">
        <f>IF(ISERROR('Eigen informatie GS &amp; warmtenet'!B59),0,'Eigen informatie GS &amp; warmtenet'!B59)</f>
        <v>0</v>
      </c>
      <c r="D5" s="31">
        <f>SUM(D6:D15)</f>
        <v>65634.008990839167</v>
      </c>
      <c r="E5" s="18">
        <f>SUM(E6:E15)</f>
        <v>200.55900690265617</v>
      </c>
      <c r="F5" s="18">
        <f>SUM(F6:F15)</f>
        <v>4699.3024629100673</v>
      </c>
      <c r="G5" s="19"/>
      <c r="H5" s="18"/>
      <c r="I5" s="18"/>
      <c r="J5" s="18">
        <f>SUM(J6:J15)</f>
        <v>108.17182681444054</v>
      </c>
      <c r="K5" s="18"/>
      <c r="L5" s="18"/>
      <c r="M5" s="18"/>
      <c r="N5" s="18">
        <f>SUM(N6:N15)</f>
        <v>703.44712518186338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27.283840550251799</v>
      </c>
      <c r="C8" s="34"/>
      <c r="D8" s="38">
        <f>IF( ISERROR(IND_metaal_Gas_kWH/1000),0,IND_metaal_Gas_kWH/1000)*0.902</f>
        <v>0</v>
      </c>
      <c r="E8" s="34">
        <f>C30*'E Balans VL '!I18/100/3.6*1000000</f>
        <v>0.24846901900599958</v>
      </c>
      <c r="F8" s="34">
        <f>C30*'E Balans VL '!L18/100/3.6*1000000+C30*'E Balans VL '!N18/100/3.6*1000000</f>
        <v>3.5985313715343521</v>
      </c>
      <c r="G8" s="35"/>
      <c r="H8" s="34"/>
      <c r="I8" s="34"/>
      <c r="J8" s="41">
        <f>C30*'E Balans VL '!D18/100/3.6*1000000+C30*'E Balans VL '!E18/100/3.6*1000000</f>
        <v>0.44741537031413348</v>
      </c>
      <c r="K8" s="34"/>
      <c r="L8" s="34"/>
      <c r="M8" s="34"/>
      <c r="N8" s="34">
        <f>C30*'E Balans VL '!Y18/100/3.6*1000000</f>
        <v>9.3763721493359639E-2</v>
      </c>
      <c r="O8" s="34"/>
      <c r="P8" s="34"/>
      <c r="R8" s="33"/>
    </row>
    <row r="9" spans="1:18">
      <c r="A9" s="6" t="s">
        <v>33</v>
      </c>
      <c r="B9" s="38">
        <f t="shared" si="0"/>
        <v>540.34862846670103</v>
      </c>
      <c r="C9" s="34"/>
      <c r="D9" s="38">
        <f>IF( ISERROR(IND_andere_gas_kWh/1000),0,IND_andere_gas_kWh/1000)*0.902</f>
        <v>124.05063778720562</v>
      </c>
      <c r="E9" s="34">
        <f>C31*'E Balans VL '!I19/100/3.6*1000000</f>
        <v>3.123295820961113</v>
      </c>
      <c r="F9" s="34">
        <f>C31*'E Balans VL '!L19/100/3.6*1000000+C31*'E Balans VL '!N19/100/3.6*1000000</f>
        <v>429.87333449238304</v>
      </c>
      <c r="G9" s="35"/>
      <c r="H9" s="34"/>
      <c r="I9" s="34"/>
      <c r="J9" s="41">
        <f>C31*'E Balans VL '!D19/100/3.6*1000000+C31*'E Balans VL '!E19/100/3.6*1000000</f>
        <v>5.1110978230384983E-2</v>
      </c>
      <c r="K9" s="34"/>
      <c r="L9" s="34"/>
      <c r="M9" s="34"/>
      <c r="N9" s="34">
        <f>C31*'E Balans VL '!Y19/100/3.6*1000000</f>
        <v>40.939585868169566</v>
      </c>
      <c r="O9" s="34"/>
      <c r="P9" s="34"/>
      <c r="R9" s="33"/>
    </row>
    <row r="10" spans="1:18">
      <c r="A10" s="6" t="s">
        <v>41</v>
      </c>
      <c r="B10" s="38">
        <f t="shared" si="0"/>
        <v>440.53999604533698</v>
      </c>
      <c r="C10" s="34"/>
      <c r="D10" s="38">
        <f>IF( ISERROR(IND_voed_gas_kWh/1000),0,IND_voed_gas_kWh/1000)*0.902</f>
        <v>0</v>
      </c>
      <c r="E10" s="34">
        <f>C32*'E Balans VL '!I20/100/3.6*1000000</f>
        <v>4.3316606804154985</v>
      </c>
      <c r="F10" s="34">
        <f>C32*'E Balans VL '!L20/100/3.6*1000000+C32*'E Balans VL '!N20/100/3.6*1000000</f>
        <v>48.92771677274331</v>
      </c>
      <c r="G10" s="35"/>
      <c r="H10" s="34"/>
      <c r="I10" s="34"/>
      <c r="J10" s="41">
        <f>C32*'E Balans VL '!D20/100/3.6*1000000+C32*'E Balans VL '!E20/100/3.6*1000000</f>
        <v>1.7363681175388305E-3</v>
      </c>
      <c r="K10" s="34"/>
      <c r="L10" s="34"/>
      <c r="M10" s="34"/>
      <c r="N10" s="34">
        <f>C32*'E Balans VL '!Y20/100/3.6*1000000</f>
        <v>6.5233610821310046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34.089693045708998</v>
      </c>
      <c r="C12" s="34"/>
      <c r="D12" s="38">
        <f>IF( ISERROR(IND_min_gas_kWh/1000),0,IND_min_gas_kWh/1000)*0.902</f>
        <v>0</v>
      </c>
      <c r="E12" s="34">
        <f>C34*'E Balans VL '!I22/100/3.6*1000000</f>
        <v>0.86423438114970408</v>
      </c>
      <c r="F12" s="34">
        <f>C34*'E Balans VL '!L22/100/3.6*1000000+C34*'E Balans VL '!N22/100/3.6*1000000</f>
        <v>9.4327368884502967</v>
      </c>
      <c r="G12" s="35"/>
      <c r="H12" s="34"/>
      <c r="I12" s="34"/>
      <c r="J12" s="41">
        <f>C34*'E Balans VL '!D22/100/3.6*1000000+C34*'E Balans VL '!E22/100/3.6*1000000</f>
        <v>0.22513518322930934</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21366.342127724201</v>
      </c>
      <c r="C15" s="34"/>
      <c r="D15" s="38">
        <f>IF( ISERROR(IND_rest_gas_kWh/1000),0,IND_rest_gas_kWh/1000)*0.902</f>
        <v>65509.958353051959</v>
      </c>
      <c r="E15" s="34">
        <f>C37*'E Balans VL '!I15/100/3.6*1000000</f>
        <v>191.99134700112384</v>
      </c>
      <c r="F15" s="34">
        <f>C37*'E Balans VL '!L15/100/3.6*1000000+C37*'E Balans VL '!N15/100/3.6*1000000</f>
        <v>4207.4701433849559</v>
      </c>
      <c r="G15" s="35"/>
      <c r="H15" s="34"/>
      <c r="I15" s="34"/>
      <c r="J15" s="41">
        <f>C37*'E Balans VL '!D15/100/3.6*1000000+C37*'E Balans VL '!E15/100/3.6*1000000</f>
        <v>107.44642891454917</v>
      </c>
      <c r="K15" s="34"/>
      <c r="L15" s="34"/>
      <c r="M15" s="34"/>
      <c r="N15" s="34">
        <f>C37*'E Balans VL '!Y15/100/3.6*1000000</f>
        <v>655.89041451006949</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22408.6042858322</v>
      </c>
      <c r="C18" s="22">
        <f>C5+C16</f>
        <v>0</v>
      </c>
      <c r="D18" s="22">
        <f>MAX((D5+D16),0)</f>
        <v>65634.008990839167</v>
      </c>
      <c r="E18" s="22">
        <f>MAX((E5+E16),0)</f>
        <v>200.55900690265617</v>
      </c>
      <c r="F18" s="22">
        <f>MAX((F5+F16),0)</f>
        <v>4699.3024629100673</v>
      </c>
      <c r="G18" s="22"/>
      <c r="H18" s="22"/>
      <c r="I18" s="22"/>
      <c r="J18" s="22">
        <f>MAX((J5+J16),0)</f>
        <v>108.17182681444054</v>
      </c>
      <c r="K18" s="22"/>
      <c r="L18" s="22">
        <f>MAX((L5+L16),0)</f>
        <v>0</v>
      </c>
      <c r="M18" s="22"/>
      <c r="N18" s="22">
        <f>MAX((N5+N16),0)</f>
        <v>703.44712518186338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0.19104805617358514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4281.1202903713111</v>
      </c>
      <c r="C22" s="24">
        <f ca="1">C18*C20</f>
        <v>0</v>
      </c>
      <c r="D22" s="24">
        <f>D18*D20</f>
        <v>13258.069816149513</v>
      </c>
      <c r="E22" s="24">
        <f>E18*E20</f>
        <v>45.526894566902953</v>
      </c>
      <c r="F22" s="24">
        <f>F18*F20</f>
        <v>1254.713757596988</v>
      </c>
      <c r="G22" s="24"/>
      <c r="H22" s="24"/>
      <c r="I22" s="24"/>
      <c r="J22" s="24">
        <f>J18*J20</f>
        <v>38.292826692311948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27.283840550251799</v>
      </c>
      <c r="C30" s="40">
        <f>IF(ISERROR(B30*3.6/1000000/'E Balans VL '!Z18*100),0,B30*3.6/1000000/'E Balans VL '!Z18*100)</f>
        <v>1.5181632811450876E-3</v>
      </c>
      <c r="D30" s="240" t="s">
        <v>707</v>
      </c>
    </row>
    <row r="31" spans="1:18">
      <c r="A31" s="6" t="s">
        <v>33</v>
      </c>
      <c r="B31" s="38">
        <f>IF( ISERROR(IND_ander_ele_kWh/1000),0,IND_ander_ele_kWh/1000)</f>
        <v>540.34862846670103</v>
      </c>
      <c r="C31" s="40">
        <f>IF(ISERROR(B31*3.6/1000000/'E Balans VL '!Z19*100),0,B31*3.6/1000000/'E Balans VL '!Z19*100)</f>
        <v>2.5119388618346204E-2</v>
      </c>
      <c r="D31" s="240" t="s">
        <v>707</v>
      </c>
    </row>
    <row r="32" spans="1:18">
      <c r="A32" s="174" t="s">
        <v>41</v>
      </c>
      <c r="B32" s="38">
        <f>IF( ISERROR(IND_voed_ele_kWh/1000),0,IND_voed_ele_kWh/1000)</f>
        <v>440.53999604533698</v>
      </c>
      <c r="C32" s="40">
        <f>IF(ISERROR(B32*3.6/1000000/'E Balans VL '!Z20*100),0,B32*3.6/1000000/'E Balans VL '!Z20*100)</f>
        <v>1.5572199152001117E-2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34.089693045708998</v>
      </c>
      <c r="C34" s="40">
        <f>IF(ISERROR(B34*3.6/1000000/'E Balans VL '!Z22*100),0,B34*3.6/1000000/'E Balans VL '!Z22*100)</f>
        <v>6.8510670053201694E-3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21366.342127724201</v>
      </c>
      <c r="C37" s="40">
        <f>IF(ISERROR(B37*3.6/1000000/'E Balans VL '!Z15*100),0,B37*3.6/1000000/'E Balans VL '!Z15*100)</f>
        <v>0.16134744592441724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1254.812095547629</v>
      </c>
      <c r="C5" s="18">
        <f>'Eigen informatie GS &amp; warmtenet'!B60</f>
        <v>0</v>
      </c>
      <c r="D5" s="31">
        <f>IF(ISERROR(SUM(LB_lb_gas_kWh,LB_rest_gas_kWh,onbekend_gas_kWh)/1000),0,SUM(LB_lb_gas_kWh,LB_rest_gas_kWh,onbekend_gas_kWh)/1000)*0.902</f>
        <v>692.48454062156554</v>
      </c>
      <c r="E5" s="18">
        <f>B17*'E Balans VL '!I25/3.6*1000000/100</f>
        <v>11.821170691741942</v>
      </c>
      <c r="F5" s="18">
        <f>B17*('E Balans VL '!L25/3.6*1000000+'E Balans VL '!N25/3.6*1000000)/100</f>
        <v>4094.8683033336965</v>
      </c>
      <c r="G5" s="19"/>
      <c r="H5" s="18"/>
      <c r="I5" s="18"/>
      <c r="J5" s="18">
        <f>('E Balans VL '!D25+'E Balans VL '!E25)/3.6*1000000*landbouw!B17/100</f>
        <v>155.22635962410209</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1254.812095547629</v>
      </c>
      <c r="C8" s="22">
        <f>C5+C6</f>
        <v>0</v>
      </c>
      <c r="D8" s="22">
        <f>MAX((D5+D6),0)</f>
        <v>692.48454062156554</v>
      </c>
      <c r="E8" s="22">
        <f>MAX((E5+E6),0)</f>
        <v>11.821170691741942</v>
      </c>
      <c r="F8" s="22">
        <f>MAX((F5+F6),0)</f>
        <v>4094.8683033336965</v>
      </c>
      <c r="G8" s="22"/>
      <c r="H8" s="22"/>
      <c r="I8" s="22"/>
      <c r="J8" s="22">
        <f>MAX((J5+J6),0)</f>
        <v>155.22635962410209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0.19104805617358514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239.72941171747752</v>
      </c>
      <c r="C12" s="24">
        <f ca="1">C8*C10</f>
        <v>0</v>
      </c>
      <c r="D12" s="24">
        <f>D8*D10</f>
        <v>139.88187720555624</v>
      </c>
      <c r="E12" s="24">
        <f>E8*E10</f>
        <v>2.6834057470254211</v>
      </c>
      <c r="F12" s="24">
        <f>F8*F10</f>
        <v>1093.329836990097</v>
      </c>
      <c r="G12" s="24"/>
      <c r="H12" s="24"/>
      <c r="I12" s="24"/>
      <c r="J12" s="24">
        <f>J8*J10</f>
        <v>54.950131306932136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0.16988150648084005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130.81813245731715</v>
      </c>
      <c r="C26" s="250">
        <f>B26*'GWP N2O_CH4'!B5</f>
        <v>2747.1807816036603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17.734189659846642</v>
      </c>
      <c r="C27" s="250">
        <f>B27*'GWP N2O_CH4'!B5</f>
        <v>372.41798285677947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1.903781025808075</v>
      </c>
      <c r="C28" s="250">
        <f>B28*'GWP N2O_CH4'!B4</f>
        <v>590.17211800050325</v>
      </c>
      <c r="D28" s="51"/>
    </row>
    <row r="29" spans="1:4">
      <c r="A29" s="42" t="s">
        <v>277</v>
      </c>
      <c r="B29" s="250">
        <f>B34*'ha_N2O bodem landbouw'!B4</f>
        <v>8.0193404979202381</v>
      </c>
      <c r="C29" s="250">
        <f>B29*'GWP N2O_CH4'!B4</f>
        <v>2485.9955543552737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2.1649694834597224E-3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7.9612325016058235E-6</v>
      </c>
      <c r="C5" s="447" t="s">
        <v>211</v>
      </c>
      <c r="D5" s="432">
        <f>SUM(D6:D11)</f>
        <v>2.3619516228909485E-5</v>
      </c>
      <c r="E5" s="432">
        <f>SUM(E6:E11)</f>
        <v>1.5553287788960517E-3</v>
      </c>
      <c r="F5" s="445" t="s">
        <v>211</v>
      </c>
      <c r="G5" s="432">
        <f>SUM(G6:G11)</f>
        <v>0.30879504457506102</v>
      </c>
      <c r="H5" s="432">
        <f>SUM(H6:H11)</f>
        <v>5.3952734655710051E-2</v>
      </c>
      <c r="I5" s="447" t="s">
        <v>211</v>
      </c>
      <c r="J5" s="447" t="s">
        <v>211</v>
      </c>
      <c r="K5" s="447" t="s">
        <v>211</v>
      </c>
      <c r="L5" s="447" t="s">
        <v>211</v>
      </c>
      <c r="M5" s="432">
        <f>SUM(M6:M11)</f>
        <v>1.6218720227753398E-2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8.1429576782724782E-7</v>
      </c>
      <c r="C6" s="433"/>
      <c r="D6" s="433">
        <f>vkm_2011_GW_PW*SUMIFS(TableVerdeelsleutelVkm[CNG],TableVerdeelsleutelVkm[Voertuigtype],"Lichte voertuigen")*SUMIFS(TableECFTransport[EnergieConsumptieFactor (PJ per km)],TableECFTransport[Index],CONCATENATE($A6,"_CNG_CNG"))</f>
        <v>1.9885239021320433E-6</v>
      </c>
      <c r="E6" s="435">
        <f>vkm_2011_GW_PW*SUMIFS(TableVerdeelsleutelVkm[LPG],TableVerdeelsleutelVkm[Voertuigtype],"Lichte voertuigen")*SUMIFS(TableECFTransport[EnergieConsumptieFactor (PJ per km)],TableECFTransport[Index],CONCATENATE($A6,"_LPG_LPG"))</f>
        <v>1.1786942050322212E-4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1.7039411287885657E-2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4.4655401653366225E-3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9.6303132987245513E-4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6.3873184132906052E-3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2.5770339591490402E-6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2.8455305908961688E-4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1.9246181997752806E-6</v>
      </c>
      <c r="C8" s="433"/>
      <c r="D8" s="435">
        <f>vkm_2011_NGW_PW*SUMIFS(TableVerdeelsleutelVkm[CNG],TableVerdeelsleutelVkm[Voertuigtype],"Lichte voertuigen")*SUMIFS(TableECFTransport[EnergieConsumptieFactor (PJ per km)],TableECFTransport[Index],CONCATENATE($A8,"_CNG_CNG"))</f>
        <v>8.4325086035217182E-6</v>
      </c>
      <c r="E8" s="435">
        <f>vkm_2011_NGW_PW*SUMIFS(TableVerdeelsleutelVkm[LPG],TableVerdeelsleutelVkm[Voertuigtype],"Lichte voertuigen")*SUMIFS(TableECFTransport[EnergieConsumptieFactor (PJ per km)],TableECFTransport[Index],CONCATENATE($A8,"_LPG_LPG"))</f>
        <v>4.5854897690153197E-4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6.2621889358656826E-2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1.8133549705055419E-2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3.6180240817293395E-3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1.2871899102021805E-2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4.5217916786630008E-6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5.7340840851865941E-4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5.2223185340032946E-6</v>
      </c>
      <c r="C10" s="433"/>
      <c r="D10" s="435">
        <f>vkm_2011_SW_PW*SUMIFS(TableVerdeelsleutelVkm[CNG],TableVerdeelsleutelVkm[Voertuigtype],"Lichte voertuigen")*SUMIFS(TableECFTransport[EnergieConsumptieFactor (PJ per km)],TableECFTransport[Index],CONCATENATE($A10,"_CNG_CNG"))</f>
        <v>1.3198483723255725E-5</v>
      </c>
      <c r="E10" s="435">
        <f>vkm_2011_SW_PW*SUMIFS(TableVerdeelsleutelVkm[LPG],TableVerdeelsleutelVkm[Voertuigtype],"Lichte voertuigen")*SUMIFS(TableECFTransport[EnergieConsumptieFactor (PJ per km)],TableECFTransport[Index],CONCATENATE($A10,"_LPG_LPG"))</f>
        <v>9.7891038149129769E-4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0.12896596768302226</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3.1311912938276551E-2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7.1751610908139885E-3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8.0908558730183877E-2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3.4633021403642251E-5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3.604542257729341E-3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2.2114534726682846</v>
      </c>
      <c r="C14" s="22"/>
      <c r="D14" s="22">
        <f t="shared" ref="D14:M14" si="0">((D5)*10^9/3600)+D12</f>
        <v>6.5609767302526345</v>
      </c>
      <c r="E14" s="22">
        <f t="shared" si="0"/>
        <v>432.03577191556991</v>
      </c>
      <c r="F14" s="22"/>
      <c r="G14" s="22">
        <f t="shared" si="0"/>
        <v>85776.401270850285</v>
      </c>
      <c r="H14" s="22">
        <f t="shared" si="0"/>
        <v>14986.870737697236</v>
      </c>
      <c r="I14" s="22"/>
      <c r="J14" s="22"/>
      <c r="K14" s="22"/>
      <c r="L14" s="22"/>
      <c r="M14" s="22">
        <f t="shared" si="0"/>
        <v>4505.2000632648333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0.19104805617358514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0.42249388727160037</v>
      </c>
      <c r="C18" s="24"/>
      <c r="D18" s="24">
        <f t="shared" ref="D18:M18" si="1">D14*D16</f>
        <v>1.3253172995110323</v>
      </c>
      <c r="E18" s="24">
        <f t="shared" si="1"/>
        <v>98.072120224834379</v>
      </c>
      <c r="F18" s="24"/>
      <c r="G18" s="24">
        <f t="shared" si="1"/>
        <v>22902.299139317027</v>
      </c>
      <c r="H18" s="24">
        <f t="shared" si="1"/>
        <v>3731.7308136866118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2.79569861235402E-3</v>
      </c>
      <c r="H50" s="323">
        <f t="shared" si="2"/>
        <v>0</v>
      </c>
      <c r="I50" s="323">
        <f t="shared" si="2"/>
        <v>0</v>
      </c>
      <c r="J50" s="323">
        <f t="shared" si="2"/>
        <v>0</v>
      </c>
      <c r="K50" s="323">
        <f t="shared" si="2"/>
        <v>0</v>
      </c>
      <c r="L50" s="323">
        <f t="shared" si="2"/>
        <v>0</v>
      </c>
      <c r="M50" s="323">
        <f t="shared" si="2"/>
        <v>1.227637378617988E-4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2.79569861235402E-3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1.227637378617988E-4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776.58294787611669</v>
      </c>
      <c r="H54" s="22">
        <f t="shared" si="3"/>
        <v>0</v>
      </c>
      <c r="I54" s="22">
        <f t="shared" si="3"/>
        <v>0</v>
      </c>
      <c r="J54" s="22">
        <f t="shared" si="3"/>
        <v>0</v>
      </c>
      <c r="K54" s="22">
        <f t="shared" si="3"/>
        <v>0</v>
      </c>
      <c r="L54" s="22">
        <f t="shared" si="3"/>
        <v>0</v>
      </c>
      <c r="M54" s="22">
        <f t="shared" si="3"/>
        <v>34.101038294944111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0.19104805617358514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207.34764708292317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2628.7210225202475</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5310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7938.7210225202471</v>
      </c>
      <c r="C9" s="579">
        <f t="shared" ref="C9:L9" si="0">SUM(C7:C8)</f>
        <v>0</v>
      </c>
      <c r="D9" s="579">
        <f t="shared" si="0"/>
        <v>0</v>
      </c>
      <c r="E9" s="579">
        <f t="shared" si="0"/>
        <v>0</v>
      </c>
      <c r="F9" s="579">
        <f t="shared" si="0"/>
        <v>0</v>
      </c>
      <c r="G9" s="579">
        <f t="shared" si="0"/>
        <v>0</v>
      </c>
      <c r="H9" s="579">
        <f t="shared" si="0"/>
        <v>0</v>
      </c>
      <c r="I9" s="579">
        <f t="shared" si="0"/>
        <v>0</v>
      </c>
      <c r="J9" s="579">
        <f t="shared" si="0"/>
        <v>15171.428571428572</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41063</v>
      </c>
      <c r="C63" s="840">
        <v>9520</v>
      </c>
      <c r="D63" s="659" t="s">
        <v>877</v>
      </c>
      <c r="E63" s="659" t="s">
        <v>878</v>
      </c>
      <c r="F63" s="659" t="s">
        <v>879</v>
      </c>
      <c r="G63" s="659" t="s">
        <v>880</v>
      </c>
      <c r="H63" s="659" t="s">
        <v>881</v>
      </c>
      <c r="I63" s="659" t="s">
        <v>882</v>
      </c>
      <c r="J63" s="839">
        <v>37288</v>
      </c>
      <c r="K63" s="839">
        <v>37408</v>
      </c>
      <c r="L63" s="659" t="s">
        <v>883</v>
      </c>
      <c r="M63" s="659">
        <v>1180</v>
      </c>
      <c r="N63" s="659">
        <v>5310</v>
      </c>
      <c r="O63" s="659">
        <v>0</v>
      </c>
      <c r="P63" s="659">
        <v>0</v>
      </c>
      <c r="Q63" s="659">
        <v>0</v>
      </c>
      <c r="R63" s="659">
        <v>15171.428571428572</v>
      </c>
      <c r="S63" s="659">
        <v>0</v>
      </c>
      <c r="T63" s="659">
        <v>0</v>
      </c>
      <c r="U63" s="659">
        <v>0</v>
      </c>
      <c r="V63" s="659">
        <v>0</v>
      </c>
      <c r="W63" s="659"/>
      <c r="X63" s="659">
        <v>1600</v>
      </c>
      <c r="Y63" s="659" t="s">
        <v>50</v>
      </c>
      <c r="Z63" s="660" t="s">
        <v>156</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1180</v>
      </c>
      <c r="N88" s="614">
        <f t="shared" ref="N88:W88" si="5">SUM(N63:N87)</f>
        <v>5310</v>
      </c>
      <c r="O88" s="614">
        <f t="shared" si="5"/>
        <v>0</v>
      </c>
      <c r="P88" s="614">
        <f t="shared" si="5"/>
        <v>0</v>
      </c>
      <c r="Q88" s="614">
        <f t="shared" si="5"/>
        <v>0</v>
      </c>
      <c r="R88" s="614">
        <f t="shared" si="5"/>
        <v>15171.428571428572</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1180</v>
      </c>
      <c r="N90" s="614">
        <f t="shared" ref="N90:W90" si="7">SUMIF($Z$63:$Z$88,"tertiair",N63:N88)</f>
        <v>5310</v>
      </c>
      <c r="O90" s="614">
        <f t="shared" si="7"/>
        <v>0</v>
      </c>
      <c r="P90" s="614">
        <f t="shared" si="7"/>
        <v>0</v>
      </c>
      <c r="Q90" s="614">
        <f t="shared" si="7"/>
        <v>0</v>
      </c>
      <c r="R90" s="614">
        <f t="shared" si="7"/>
        <v>15171.428571428572</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2018-06-27T09:19:39Z</dcterms:modified>
</cp:coreProperties>
</file>