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M18" s="1"/>
  <c r="N45" i="14" s="1"/>
  <c r="N46" s="1"/>
  <c r="N53" s="1"/>
  <c r="E7" i="48"/>
  <c r="E24" s="1"/>
  <c r="L12" i="17"/>
  <c r="M48" i="14" s="1"/>
  <c r="I7" i="18"/>
  <c r="J78" i="14"/>
  <c r="J81" s="1"/>
  <c r="I19" i="18"/>
  <c r="G14" i="22"/>
  <c r="E13" i="14"/>
  <c r="J7" i="18"/>
  <c r="M7" s="1"/>
  <c r="M9" s="1"/>
  <c r="E10" i="14"/>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K67" i="14" l="1"/>
  <c r="K69" s="1"/>
  <c r="E15"/>
  <c r="E23" s="1"/>
  <c r="J9" i="18"/>
  <c r="B14" i="48"/>
  <c r="Q7"/>
  <c r="D14"/>
  <c r="N18" i="16"/>
  <c r="N8" i="48" s="1"/>
  <c r="J18" i="16"/>
  <c r="J8" i="48" s="1"/>
  <c r="J25" s="1"/>
  <c r="D69" i="14"/>
  <c r="O67"/>
  <c r="F18" i="16"/>
  <c r="G13" i="14" s="1"/>
  <c r="G15" s="1"/>
  <c r="G23" s="1"/>
  <c r="E18" i="16"/>
  <c r="E8" i="48" s="1"/>
  <c r="E20" i="15"/>
  <c r="F36" i="14" s="1"/>
  <c r="C78"/>
  <c r="C81" s="1"/>
  <c r="K81"/>
  <c r="O14" i="48"/>
  <c r="J69" i="14"/>
  <c r="G9" i="48"/>
  <c r="G26" s="1"/>
  <c r="G31" s="1"/>
  <c r="H19" i="14"/>
  <c r="H20" s="1"/>
  <c r="H23" s="1"/>
  <c r="Q10" i="48"/>
  <c r="H46" i="14"/>
  <c r="H53" s="1"/>
  <c r="N19"/>
  <c r="N20" s="1"/>
  <c r="N23" s="1"/>
  <c r="N55" s="1"/>
  <c r="M9" i="48"/>
  <c r="K13" i="14"/>
  <c r="K15" s="1"/>
  <c r="K23" s="1"/>
  <c r="I55"/>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C67" l="1"/>
  <c r="C69" s="1"/>
  <c r="F22" i="16"/>
  <c r="G39" i="14" s="1"/>
  <c r="G41" s="1"/>
  <c r="G53" s="1"/>
  <c r="G55" s="1"/>
  <c r="O69" s="1"/>
  <c r="B9" i="6" s="1"/>
  <c r="B12" s="1"/>
  <c r="E55" i="14"/>
  <c r="F8" i="48"/>
  <c r="Q8" s="1"/>
  <c r="Q14" s="1"/>
  <c r="Q9"/>
  <c r="E25"/>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25" i="48"/>
  <c r="F31" s="1"/>
  <c r="F14" l="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<sst xmlns="http://schemas.openxmlformats.org/spreadsheetml/2006/main" count="2045" uniqueCount="891">
  <si>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</si>
  <si>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</si>
  <si>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</si>
  <si>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</si>
  <si>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</si>
  <si>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</si>
  <si>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</si>
  <si>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</si>
  <si>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</si>
  <si>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</si>
  <si>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</si>
  <si>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</si>
  <si>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</si>
  <si>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</si>
  <si>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</si>
  <si>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</si>
  <si>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</si>
  <si>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</si>
  <si>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</si>
  <si>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</si>
  <si>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</si>
  <si>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</si>
  <si>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</si>
  <si>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</si>
  <si>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</si>
  <si>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</si>
  <si>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</si>
  <si>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</si>
  <si>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</si>
  <si>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</si>
  <si>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</si>
  <si>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</si>
  <si>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</si>
  <si>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</si>
  <si>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</si>
  <si>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</si>
  <si>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</si>
  <si>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</si>
  <si>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</si>
  <si>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</si>
  <si>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</si>
  <si>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</si>
  <si>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</si>
  <si>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</si>
  <si>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</si>
  <si>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</si>
  <si>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</si>
  <si>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</si>
  <si>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</si>
  <si>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</si>
  <si>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</si>
  <si>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</si>
  <si>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</si>
  <si>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</si>
  <si>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</si>
  <si>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</si>
  <si>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</si>
  <si>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</si>
  <si>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</si>
  <si>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</si>
  <si>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</si>
  <si>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</si>
  <si>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</si>
  <si>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</si>
  <si>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</si>
  <si>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</si>
  <si>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</si>
  <si>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</si>
  <si>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</si>
  <si>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</si>
  <si>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</si>
  <si>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</si>
  <si>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</si>
  <si>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</si>
  <si>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</si>
  <si>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</si>
  <si>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</si>
  <si>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</si>
  <si>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</si>
  <si>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</si>
  <si>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</si>
  <si>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</si>
  <si>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</si>
  <si>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</si>
  <si>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</si>
  <si>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</si>
  <si>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</si>
  <si>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</si>
  <si>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</si>
  <si>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</si>
  <si>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</si>
  <si>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</si>
  <si>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</si>
  <si>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</si>
  <si>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</si>
  <si>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</si>
  <si>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</si>
  <si>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</si>
  <si>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</si>
  <si>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</si>
  <si>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</si>
  <si>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</si>
  <si>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</si>
  <si>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</si>
  <si>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</si>
  <si>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</si>
  <si>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</si>
  <si>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</si>
  <si>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</si>
  <si>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</si>
  <si>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</si>
  <si>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</si>
  <si>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</si>
  <si>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</si>
  <si>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</si>
  <si>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</si>
  <si>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</si>
  <si>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</si>
  <si>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</si>
  <si>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</si>
  <si>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</si>
  <si>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</si>
  <si>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</si>
  <si>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</si>
  <si>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</si>
  <si>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</si>
  <si>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</si>
  <si>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</si>
  <si>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</si>
  <si>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</si>
  <si>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</si>
  <si>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</si>
  <si>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</si>
  <si>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</si>
  <si>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</si>
  <si>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</si>
  <si>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</si>
  <si>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</si>
  <si>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</si>
  <si>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</si>
  <si>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</si>
  <si>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</si>
  <si>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</si>
  <si>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</si>
  <si>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</si>
  <si>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</si>
  <si>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</si>
  <si>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</si>
  <si>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</si>
  <si>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</si>
  <si>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</si>
  <si>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</si>
  <si>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</si>
  <si>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</si>
  <si>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</si>
  <si>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</si>
  <si>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</si>
  <si>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</si>
  <si>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</si>
  <si>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</si>
  <si>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</si>
  <si>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</si>
  <si>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</si>
  <si>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</si>
  <si>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</si>
  <si>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</si>
  <si>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</si>
  <si>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</si>
  <si>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</si>
  <si>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</si>
  <si>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</si>
  <si>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</si>
  <si>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</si>
  <si>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</si>
  <si>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</si>
  <si>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</si>
  <si>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</si>
  <si>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</si>
  <si>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</si>
  <si>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</si>
  <si>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</si>
  <si>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</si>
  <si>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</si>
  <si>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</si>
  <si>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</si>
  <si>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</si>
  <si>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</si>
  <si>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</si>
  <si>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</si>
  <si>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</si>
  <si>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</si>
  <si>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</si>
  <si>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</si>
  <si>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</si>
  <si>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</si>
  <si>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</si>
  <si>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</si>
  <si>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</si>
  <si>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</si>
  <si>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</si>
  <si>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</si>
  <si>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</si>
  <si>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</si>
  <si>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</si>
  <si>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</si>
  <si>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</si>
  <si>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</si>
  <si>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</si>
  <si>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</si>
  <si>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</si>
  <si>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</si>
  <si>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</si>
  <si>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</si>
  <si>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</si>
  <si>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</si>
  <si>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</si>
  <si>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</si>
  <si>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</si>
  <si>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</si>
  <si>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</si>
  <si>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</si>
  <si>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</si>
  <si>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</si>
  <si>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</si>
  <si>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</si>
  <si>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</si>
  <si>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</si>
  <si>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</si>
  <si>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</si>
  <si>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</si>
  <si>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</si>
  <si>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</si>
  <si>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</si>
  <si>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</si>
  <si>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</si>
  <si>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</si>
  <si>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</si>
  <si>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</si>
  <si>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</si>
  <si>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</si>
  <si>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</si>
  <si>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</si>
  <si>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</si>
  <si>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</si>
  <si>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</si>
  <si>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</si>
  <si>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</si>
  <si>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</si>
  <si>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</si>
  <si>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</si>
  <si>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</si>
  <si>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</si>
  <si>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</si>
  <si>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</si>
  <si>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</si>
  <si>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</si>
  <si>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</si>
  <si>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</si>
  <si>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</si>
  <si>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</si>
  <si>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</si>
  <si>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</si>
  <si>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</si>
  <si>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</si>
  <si>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</si>
  <si>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</si>
  <si>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</si>
  <si>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</si>
  <si>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</si>
  <si>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</si>
  <si>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</si>
  <si>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</si>
  <si>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</si>
  <si>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</si>
  <si>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</si>
  <si>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</si>
  <si>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</si>
  <si>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</si>
  <si>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</si>
  <si>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</si>
  <si>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</si>
  <si>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</si>
  <si>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</si>
  <si>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</si>
  <si>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</si>
  <si>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</si>
  <si>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</si>
  <si>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</si>
  <si>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</si>
  <si>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</si>
  <si>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</si>
  <si>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</si>
  <si>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</si>
  <si>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</si>
  <si>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</si>
  <si>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</si>
  <si>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</si>
  <si>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</si>
  <si>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</si>
  <si>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</si>
  <si>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</si>
  <si>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</si>
  <si>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</si>
  <si>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</si>
  <si>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</si>
  <si>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</si>
  <si>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</si>
  <si>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</si>
  <si>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</si>
  <si>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</si>
  <si>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</si>
  <si>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</si>
  <si>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</si>
  <si>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</si>
  <si>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</si>
  <si>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</si>
  <si>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</si>
  <si>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</si>
  <si>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</si>
  <si>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</si>
  <si>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</si>
  <si>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</si>
  <si>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</si>
  <si>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</si>
  <si>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</si>
  <si>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</si>
  <si>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</si>
  <si>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</si>
  <si>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</si>
  <si>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</si>
  <si>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</si>
  <si>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</si>
  <si>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</si>
  <si>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</si>
  <si>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</si>
  <si>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</si>
  <si>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</si>
  <si>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</si>
  <si>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</si>
  <si>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</si>
  <si>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</si>
  <si>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</si>
  <si>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</si>
  <si>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</si>
  <si>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</si>
  <si>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</si>
  <si>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</si>
  <si>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</si>
  <si>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</si>
  <si>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</si>
  <si>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</si>
  <si>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</si>
  <si>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</si>
  <si>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</si>
  <si>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</si>
  <si>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</si>
  <si>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</si>
  <si>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</si>
  <si>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</si>
  <si>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</si>
  <si>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</si>
  <si>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</si>
  <si>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</si>
  <si>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</si>
  <si>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</si>
  <si>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</si>
  <si>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</si>
  <si>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</si>
  <si>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</si>
  <si>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</si>
  <si>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</si>
  <si>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</si>
  <si>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</si>
  <si>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</si>
  <si>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</si>
  <si>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</si>
  <si>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</si>
  <si>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</si>
  <si>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</si>
  <si>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</si>
  <si>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</si>
  <si>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</si>
  <si>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</si>
  <si>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</si>
  <si>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</si>
  <si>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</si>
  <si>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</si>
  <si>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</si>
  <si>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</si>
  <si>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</si>
  <si>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</si>
  <si>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</si>
  <si>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</si>
  <si>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</si>
  <si>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</si>
  <si>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</si>
  <si>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</si>
  <si>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</si>
  <si>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</si>
  <si>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</si>
  <si>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</si>
  <si>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</si>
  <si>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</si>
  <si>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</si>
  <si>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</si>
  <si>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</si>
  <si>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</si>
  <si>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</si>
  <si>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</si>
  <si>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</si>
  <si>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</si>
  <si>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</si>
  <si>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</si>
  <si>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</si>
  <si>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</si>
  <si>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</si>
  <si>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</si>
  <si>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</si>
  <si>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</si>
  <si>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</si>
  <si>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</si>
  <si>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</si>
  <si>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</si>
  <si>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</si>
  <si>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</si>
  <si>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</si>
  <si>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</si>
  <si>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</si>
  <si>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</si>
  <si>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</si>
  <si>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</si>
  <si>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</si>
  <si>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</si>
  <si>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</si>
  <si>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</si>
  <si>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</si>
  <si>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</si>
  <si>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</si>
  <si>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</si>
  <si>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</si>
  <si>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</si>
  <si>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</si>
  <si>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</si>
  <si>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</si>
  <si>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</si>
  <si>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</si>
  <si>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</si>
  <si>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</si>
  <si>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</si>
  <si>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</si>
  <si>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</si>
  <si>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</si>
  <si>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</si>
  <si>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</si>
  <si>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</si>
  <si>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</si>
  <si>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</si>
  <si>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</si>
  <si>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</si>
  <si>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</si>
  <si>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</si>
  <si>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</si>
  <si>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</si>
  <si>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</si>
  <si>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</si>
  <si>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</si>
  <si>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</si>
  <si>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</si>
  <si>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</si>
  <si>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</si>
  <si>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</si>
  <si>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</si>
  <si>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</si>
  <si>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</si>
  <si>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</si>
  <si>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</si>
  <si>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</si>
  <si>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</si>
  <si>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</si>
  <si>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</si>
  <si>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</si>
  <si>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</si>
  <si>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</si>
  <si>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</si>
  <si>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</si>
  <si>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</si>
  <si>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</si>
  <si>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</si>
  <si>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</si>
  <si>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</si>
  <si>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</si>
  <si>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</si>
  <si>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</si>
  <si>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</si>
  <si>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</si>
  <si>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</si>
  <si>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</si>
  <si>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</si>
  <si>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</si>
  <si>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</si>
  <si>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</si>
  <si>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</si>
  <si>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</si>
  <si>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</si>
  <si>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</si>
  <si>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</si>
  <si>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</si>
  <si>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</si>
  <si>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</si>
  <si>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</si>
  <si>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</si>
  <si>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</si>
  <si>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</si>
  <si>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</si>
  <si>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</si>
  <si>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</si>
  <si>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</si>
  <si>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</si>
  <si>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</si>
  <si>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</si>
  <si>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</si>
  <si>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</si>
  <si>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</si>
  <si>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</si>
  <si>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</si>
  <si>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</si>
  <si>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</si>
  <si>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</si>
  <si>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</si>
  <si>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</si>
  <si>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</si>
  <si>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</si>
  <si>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</si>
  <si>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</si>
  <si>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</si>
  <si>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</si>
  <si>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</si>
  <si>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</si>
  <si>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</si>
  <si>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</si>
  <si>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</si>
  <si>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</si>
  <si>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</si>
  <si>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</si>
  <si>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</si>
  <si>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</si>
  <si>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</si>
  <si>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</si>
  <si>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</si>
  <si>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</si>
  <si>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</si>
  <si>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</si>
  <si>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</si>
  <si>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</si>
  <si>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</si>
  <si>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</si>
  <si>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</si>
  <si>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</si>
  <si>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</si>
  <si>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</si>
  <si>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</si>
  <si>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</si>
  <si>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</si>
  <si>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</si>
  <si>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</si>
  <si>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</si>
  <si>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</si>
  <si>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</si>
  <si>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</si>
  <si>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</si>
  <si>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</si>
  <si>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</si>
  <si>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</si>
  <si>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</si>
  <si>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</si>
  <si>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</si>
  <si>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</si>
  <si>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</si>
  <si>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</si>
  <si>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</si>
  <si>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</si>
  <si>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</si>
  <si>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</si>
  <si>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</si>
  <si>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</si>
  <si>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</si>
  <si>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</si>
  <si>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</si>
  <si>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</si>
  <si>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</si>
  <si>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</si>
  <si>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</si>
  <si>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</si>
  <si>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</si>
  <si>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</si>
  <si>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</si>
  <si>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</si>
  <si>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</si>
  <si>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</si>
  <si>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</si>
  <si>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</si>
  <si>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</si>
  <si>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</si>
  <si>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</si>
  <si>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</si>
  <si>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</si>
  <si>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</si>
  <si>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</si>
  <si>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</si>
  <si>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</si>
  <si>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</si>
  <si>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</si>
  <si>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</si>
  <si>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</si>
  <si>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</si>
  <si>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</si>
  <si>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</si>
  <si>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</si>
  <si>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</si>
  <si>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</si>
  <si>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</si>
  <si>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</si>
  <si>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</si>
  <si>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</si>
  <si>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</si>
  <si>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</si>
  <si>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</si>
  <si>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</si>
  <si>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</si>
  <si>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</si>
  <si>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</si>
  <si>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</si>
  <si>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</si>
  <si>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</si>
  <si>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</si>
  <si>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</si>
  <si>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</si>
  <si>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</si>
  <si>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</si>
  <si>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</si>
  <si>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</si>
  <si>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</si>
  <si>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</si>
  <si>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</si>
  <si>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</si>
  <si>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</si>
  <si>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</si>
  <si>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</si>
  <si>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</si>
  <si>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</si>
  <si>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</si>
  <si>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</si>
  <si>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</si>
  <si>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</si>
  <si>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</si>
  <si>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</si>
  <si>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</si>
  <si>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</si>
  <si>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</si>
  <si>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</si>
  <si>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</si>
  <si>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</si>
  <si>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</si>
  <si>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</si>
  <si>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</si>
  <si>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</si>
  <si>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</si>
  <si>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</si>
  <si>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</si>
  <si>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</si>
  <si>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</si>
  <si>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</si>
  <si>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</si>
  <si>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</si>
  <si>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</si>
  <si>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</si>
  <si>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</si>
  <si>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</si>
  <si>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</si>
  <si>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</si>
  <si>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</si>
  <si>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</si>
  <si>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</si>
  <si>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</si>
  <si>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</si>
  <si>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</si>
  <si>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</si>
  <si>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</si>
  <si>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</si>
  <si>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</si>
  <si>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</si>
  <si>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</si>
  <si>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</si>
  <si>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</si>
  <si>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</si>
  <si>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</si>
  <si>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</si>
  <si>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</si>
  <si>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</si>
  <si>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</si>
  <si>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</si>
  <si>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</si>
  <si>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</si>
  <si>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</si>
  <si>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</si>
  <si>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</si>
  <si>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</si>
  <si>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</si>
  <si>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</si>
  <si>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</si>
  <si>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</si>
  <si>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</si>
  <si>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</si>
  <si>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</si>
  <si>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</si>
  <si>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</si>
  <si>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</si>
  <si>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</si>
  <si>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</si>
  <si>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</si>
  <si>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</si>
  <si>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</si>
  <si>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</si>
  <si>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</si>
  <si>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</si>
  <si>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</si>
  <si>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</si>
  <si>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</si>
  <si>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</si>
  <si>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</si>
  <si>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</si>
  <si>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</si>
  <si>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</si>
  <si>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</si>
  <si>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</si>
  <si>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</si>
  <si>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</si>
  <si>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</si>
  <si>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</si>
  <si>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</si>
  <si>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</si>
  <si>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</si>
  <si>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</si>
  <si>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</si>
  <si>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</si>
  <si>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</si>
  <si>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</si>
  <si>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</si>
  <si>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</si>
  <si>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</si>
  <si>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</si>
  <si>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</si>
  <si>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</si>
  <si>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</si>
  <si>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</si>
  <si>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</si>
  <si>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</si>
  <si>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</si>
  <si>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</si>
  <si>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</si>
  <si>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</si>
  <si>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</si>
  <si>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</si>
  <si>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</si>
  <si>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</si>
  <si>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</si>
  <si>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</si>
  <si>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</si>
  <si>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</si>
  <si>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</si>
  <si>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</si>
  <si>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</si>
  <si>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</si>
  <si>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</si>
  <si>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</si>
  <si>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</si>
  <si>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</si>
  <si>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</si>
  <si>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</si>
  <si>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</si>
  <si>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</si>
  <si>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</si>
  <si>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</si>
  <si>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</si>
  <si>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</si>
  <si>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</si>
  <si>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</si>
  <si>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</si>
  <si>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</si>
  <si>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</si>
  <si>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</si>
  <si>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</si>
  <si>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</si>
  <si>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</si>
  <si>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</si>
  <si>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</si>
  <si>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</si>
  <si>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</si>
  <si>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</si>
  <si>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</si>
  <si>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</si>
  <si>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</si>
  <si>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</si>
  <si>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</si>
  <si>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</si>
  <si>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</si>
  <si>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</si>
  <si>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</si>
  <si>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</si>
  <si>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</si>
  <si>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</si>
  <si>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</si>
  <si>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</si>
  <si>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</si>
  <si>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</si>
  <si>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</si>
  <si>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</si>
  <si>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</si>
  <si>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</si>
  <si>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</si>
  <si>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</si>
  <si>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</si>
  <si>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</si>
  <si>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</si>
  <si>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</si>
  <si>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</si>
  <si>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</si>
  <si>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</si>
  <si>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</si>
  <si>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</si>
  <si>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</si>
  <si>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</si>
  <si>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</si>
  <si>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</si>
  <si>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</si>
  <si>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</si>
  <si>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</si>
  <si>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</si>
  <si>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</si>
  <si>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</si>
  <si>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</si>
  <si>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</si>
  <si>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</si>
  <si>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</si>
  <si>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</si>
  <si>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</si>
  <si>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</si>
  <si>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</si>
  <si>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</si>
  <si>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</si>
  <si>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</si>
  <si>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</si>
  <si>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</si>
  <si>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</si>
  <si>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</si>
  <si>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</si>
  <si>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</si>
  <si>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</si>
  <si>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</si>
  <si>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</si>
  <si>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</si>
  <si>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</si>
  <si>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</si>
  <si>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</si>
  <si>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</si>
  <si>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</si>
  <si>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</si>
  <si>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</si>
  <si>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</si>
  <si>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</si>
  <si>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</si>
  <si>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37020</t>
  </si>
  <si>
    <t>ARDOOIE</t>
  </si>
  <si>
    <t>Paarden&amp;pony's 200 - 600 kg</t>
  </si>
  <si>
    <t>Paarden&amp;pony's &lt; 200 kg</t>
  </si>
  <si>
    <t>op basis van VEA (maart 2018) en Inventaris Hernieuwbare Energiebronnen (juni 2018)</t>
  </si>
  <si>
    <t>VEA (juni 2018)</t>
  </si>
  <si>
    <t>Helmke Drive Center</t>
  </si>
  <si>
    <t>Bleyveldstraat 9, 3320 Hoegaarden</t>
  </si>
  <si>
    <t>WKK-0004 Unifrost Ardooie</t>
  </si>
  <si>
    <t>interne verbrandingsmotor</t>
  </si>
  <si>
    <t>WKK interne verbrandinsgmotor (gas)</t>
  </si>
  <si>
    <t>Zwevezeelsestraat 142, 8851 Koolskamp</t>
  </si>
  <si>
    <t>GASELWEST</t>
  </si>
  <si>
    <t>Coghe Luc</t>
  </si>
  <si>
    <t>Meulebeeksestraat 38a , 8850 Ardooie</t>
  </si>
  <si>
    <t>WKK-0214 Coghe Luc</t>
  </si>
  <si>
    <t>Cummins Cogeneration Belgium bvba</t>
  </si>
  <si>
    <t>Interleuvenlaan 62 , 3001 Heverlee</t>
  </si>
  <si>
    <t>WKK-0406 Desmet</t>
  </si>
  <si>
    <t>Vlasbloemstraat 17 , 8850 Ardooie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</si>
</sst>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37020</v>
      </c>
      <c r="B6" s="397"/>
      <c r="C6" s="398"/>
    </row>
    <row r="7" spans="1:7" s="395" customFormat="1" ht="15.75" customHeight="1">
      <c r="A7" s="399" t="str">
        <f>txtMunicipality</f>
        <v>ARDOOIE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37020</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3700</v>
      </c>
      <c r="C9" s="338">
        <v>3743</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2245</v>
      </c>
    </row>
    <row r="15" spans="1:6">
      <c r="A15" s="1205" t="s">
        <v>184</v>
      </c>
      <c r="B15" s="335">
        <v>22</v>
      </c>
    </row>
    <row r="16" spans="1:6">
      <c r="A16" s="1205" t="s">
        <v>6</v>
      </c>
      <c r="B16" s="335">
        <v>621</v>
      </c>
    </row>
    <row r="17" spans="1:6">
      <c r="A17" s="1205" t="s">
        <v>7</v>
      </c>
      <c r="B17" s="335">
        <v>582</v>
      </c>
    </row>
    <row r="18" spans="1:6">
      <c r="A18" s="1205" t="s">
        <v>8</v>
      </c>
      <c r="B18" s="335">
        <v>792</v>
      </c>
    </row>
    <row r="19" spans="1:6">
      <c r="A19" s="1205" t="s">
        <v>9</v>
      </c>
      <c r="B19" s="335">
        <v>870</v>
      </c>
    </row>
    <row r="20" spans="1:6">
      <c r="A20" s="1205" t="s">
        <v>10</v>
      </c>
      <c r="B20" s="335">
        <v>668</v>
      </c>
    </row>
    <row r="21" spans="1:6">
      <c r="A21" s="1205" t="s">
        <v>11</v>
      </c>
      <c r="B21" s="335">
        <v>21751</v>
      </c>
    </row>
    <row r="22" spans="1:6">
      <c r="A22" s="1205" t="s">
        <v>12</v>
      </c>
      <c r="B22" s="335">
        <v>68814</v>
      </c>
    </row>
    <row r="23" spans="1:6">
      <c r="A23" s="1205" t="s">
        <v>13</v>
      </c>
      <c r="B23" s="335">
        <v>888</v>
      </c>
    </row>
    <row r="24" spans="1:6">
      <c r="A24" s="1205" t="s">
        <v>14</v>
      </c>
      <c r="B24" s="335">
        <v>41</v>
      </c>
    </row>
    <row r="25" spans="1:6">
      <c r="A25" s="1205" t="s">
        <v>15</v>
      </c>
      <c r="B25" s="335">
        <v>5320</v>
      </c>
    </row>
    <row r="26" spans="1:6">
      <c r="A26" s="1205" t="s">
        <v>16</v>
      </c>
      <c r="B26" s="335">
        <v>36</v>
      </c>
    </row>
    <row r="27" spans="1:6">
      <c r="A27" s="1205" t="s">
        <v>17</v>
      </c>
      <c r="B27" s="335">
        <v>0</v>
      </c>
    </row>
    <row r="28" spans="1:6" s="341" customFormat="1">
      <c r="A28" s="1206" t="s">
        <v>18</v>
      </c>
      <c r="B28" s="1206">
        <v>329103</v>
      </c>
    </row>
    <row r="29" spans="1:6">
      <c r="A29" s="1206" t="s">
        <v>873</v>
      </c>
      <c r="B29" s="1206">
        <v>104</v>
      </c>
      <c r="C29" s="341"/>
      <c r="D29" s="341"/>
      <c r="E29" s="341"/>
      <c r="F29" s="341"/>
    </row>
    <row r="30" spans="1:6">
      <c r="A30" s="1201" t="s">
        <v>874</v>
      </c>
      <c r="B30" s="1201">
        <v>15</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1</v>
      </c>
      <c r="F38" s="335">
        <v>1264.6280713604999</v>
      </c>
    </row>
    <row r="39" spans="1:6">
      <c r="A39" s="1205" t="s">
        <v>30</v>
      </c>
      <c r="B39" s="1205" t="s">
        <v>31</v>
      </c>
      <c r="C39" s="335">
        <v>1988</v>
      </c>
      <c r="D39" s="335">
        <v>35411239.358194903</v>
      </c>
      <c r="E39" s="335">
        <v>3384</v>
      </c>
      <c r="F39" s="335">
        <v>14476418.2955733</v>
      </c>
    </row>
    <row r="40" spans="1:6">
      <c r="A40" s="1205" t="s">
        <v>30</v>
      </c>
      <c r="B40" s="1205" t="s">
        <v>29</v>
      </c>
      <c r="C40" s="335">
        <v>0</v>
      </c>
      <c r="D40" s="335">
        <v>0</v>
      </c>
      <c r="E40" s="335">
        <v>0</v>
      </c>
      <c r="F40" s="335">
        <v>0</v>
      </c>
    </row>
    <row r="41" spans="1:6">
      <c r="A41" s="1205" t="s">
        <v>32</v>
      </c>
      <c r="B41" s="1205" t="s">
        <v>33</v>
      </c>
      <c r="C41" s="335">
        <v>39</v>
      </c>
      <c r="D41" s="335">
        <v>996294.30506861198</v>
      </c>
      <c r="E41" s="335">
        <v>105</v>
      </c>
      <c r="F41" s="335">
        <v>2838205.7675569998</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6</v>
      </c>
      <c r="D44" s="335">
        <v>83335.056674745894</v>
      </c>
      <c r="E44" s="335">
        <v>13</v>
      </c>
      <c r="F44" s="335">
        <v>460665.896368713</v>
      </c>
    </row>
    <row r="45" spans="1:6">
      <c r="A45" s="1205" t="s">
        <v>32</v>
      </c>
      <c r="B45" s="1205" t="s">
        <v>37</v>
      </c>
      <c r="C45" s="335">
        <v>0</v>
      </c>
      <c r="D45" s="335">
        <v>0</v>
      </c>
      <c r="E45" s="335">
        <v>3</v>
      </c>
      <c r="F45" s="335">
        <v>219712.77593387201</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37</v>
      </c>
      <c r="D48" s="335">
        <v>55043950.645158999</v>
      </c>
      <c r="E48" s="335">
        <v>51</v>
      </c>
      <c r="F48" s="335">
        <v>77786447.358504906</v>
      </c>
    </row>
    <row r="49" spans="1:6">
      <c r="A49" s="1205" t="s">
        <v>32</v>
      </c>
      <c r="B49" s="1205" t="s">
        <v>40</v>
      </c>
      <c r="C49" s="335">
        <v>3</v>
      </c>
      <c r="D49" s="335">
        <v>60421.806819222802</v>
      </c>
      <c r="E49" s="335">
        <v>3</v>
      </c>
      <c r="F49" s="335">
        <v>192096.79601975699</v>
      </c>
    </row>
    <row r="50" spans="1:6">
      <c r="A50" s="1205" t="s">
        <v>32</v>
      </c>
      <c r="B50" s="1205" t="s">
        <v>41</v>
      </c>
      <c r="C50" s="335">
        <v>8</v>
      </c>
      <c r="D50" s="335">
        <v>73577141.184607103</v>
      </c>
      <c r="E50" s="335">
        <v>11</v>
      </c>
      <c r="F50" s="335">
        <v>135179210.09922901</v>
      </c>
    </row>
    <row r="51" spans="1:6">
      <c r="A51" s="1205" t="s">
        <v>42</v>
      </c>
      <c r="B51" s="1205" t="s">
        <v>43</v>
      </c>
      <c r="C51" s="335">
        <v>9</v>
      </c>
      <c r="D51" s="335">
        <v>185934.39353161099</v>
      </c>
      <c r="E51" s="335">
        <v>194</v>
      </c>
      <c r="F51" s="335">
        <v>5796460.09390854</v>
      </c>
    </row>
    <row r="52" spans="1:6">
      <c r="A52" s="1205" t="s">
        <v>42</v>
      </c>
      <c r="B52" s="1205" t="s">
        <v>29</v>
      </c>
      <c r="C52" s="335">
        <v>8</v>
      </c>
      <c r="D52" s="335">
        <v>22644456.020700701</v>
      </c>
      <c r="E52" s="335">
        <v>13</v>
      </c>
      <c r="F52" s="335">
        <v>1515204.0189425</v>
      </c>
    </row>
    <row r="53" spans="1:6">
      <c r="A53" s="1205" t="s">
        <v>44</v>
      </c>
      <c r="B53" s="1205" t="s">
        <v>45</v>
      </c>
      <c r="C53" s="335">
        <v>54</v>
      </c>
      <c r="D53" s="335">
        <v>1199621.9775713901</v>
      </c>
      <c r="E53" s="335">
        <v>122</v>
      </c>
      <c r="F53" s="335">
        <v>752336.56952523196</v>
      </c>
    </row>
    <row r="54" spans="1:6">
      <c r="A54" s="1205" t="s">
        <v>46</v>
      </c>
      <c r="B54" s="1205" t="s">
        <v>47</v>
      </c>
      <c r="C54" s="335">
        <v>0</v>
      </c>
      <c r="D54" s="335">
        <v>0</v>
      </c>
      <c r="E54" s="335">
        <v>1</v>
      </c>
      <c r="F54" s="335">
        <v>626048</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15</v>
      </c>
      <c r="D57" s="335">
        <v>358791.15005707397</v>
      </c>
      <c r="E57" s="335">
        <v>38</v>
      </c>
      <c r="F57" s="335">
        <v>431966.45182902401</v>
      </c>
    </row>
    <row r="58" spans="1:6">
      <c r="A58" s="1205" t="s">
        <v>49</v>
      </c>
      <c r="B58" s="1205" t="s">
        <v>51</v>
      </c>
      <c r="C58" s="335">
        <v>7</v>
      </c>
      <c r="D58" s="335">
        <v>1144802.3773306201</v>
      </c>
      <c r="E58" s="335">
        <v>15</v>
      </c>
      <c r="F58" s="335">
        <v>507816.68322138401</v>
      </c>
    </row>
    <row r="59" spans="1:6">
      <c r="A59" s="1205" t="s">
        <v>49</v>
      </c>
      <c r="B59" s="1205" t="s">
        <v>52</v>
      </c>
      <c r="C59" s="335">
        <v>12</v>
      </c>
      <c r="D59" s="335">
        <v>283342.25514063198</v>
      </c>
      <c r="E59" s="335">
        <v>85</v>
      </c>
      <c r="F59" s="335">
        <v>4026902.9681734801</v>
      </c>
    </row>
    <row r="60" spans="1:6">
      <c r="A60" s="1205" t="s">
        <v>49</v>
      </c>
      <c r="B60" s="1205" t="s">
        <v>53</v>
      </c>
      <c r="C60" s="335">
        <v>26</v>
      </c>
      <c r="D60" s="335">
        <v>868190.67361247097</v>
      </c>
      <c r="E60" s="335">
        <v>38</v>
      </c>
      <c r="F60" s="335">
        <v>619613.37433710997</v>
      </c>
    </row>
    <row r="61" spans="1:6">
      <c r="A61" s="1205" t="s">
        <v>49</v>
      </c>
      <c r="B61" s="1205" t="s">
        <v>54</v>
      </c>
      <c r="C61" s="335">
        <v>46</v>
      </c>
      <c r="D61" s="335">
        <v>3291331.58749075</v>
      </c>
      <c r="E61" s="335">
        <v>119</v>
      </c>
      <c r="F61" s="335">
        <v>1137273.7475416099</v>
      </c>
    </row>
    <row r="62" spans="1:6">
      <c r="A62" s="1205" t="s">
        <v>49</v>
      </c>
      <c r="B62" s="1205" t="s">
        <v>55</v>
      </c>
      <c r="C62" s="335">
        <v>7</v>
      </c>
      <c r="D62" s="335">
        <v>328027.20207929402</v>
      </c>
      <c r="E62" s="335">
        <v>4</v>
      </c>
      <c r="F62" s="335">
        <v>37484.952686889897</v>
      </c>
    </row>
    <row r="63" spans="1:6">
      <c r="A63" s="1205" t="s">
        <v>49</v>
      </c>
      <c r="B63" s="1205" t="s">
        <v>29</v>
      </c>
      <c r="C63" s="335">
        <v>93</v>
      </c>
      <c r="D63" s="335">
        <v>32334472.472127501</v>
      </c>
      <c r="E63" s="335">
        <v>137</v>
      </c>
      <c r="F63" s="335">
        <v>2587991.1041460601</v>
      </c>
    </row>
    <row r="64" spans="1:6">
      <c r="A64" s="1205" t="s">
        <v>56</v>
      </c>
      <c r="B64" s="1205" t="s">
        <v>57</v>
      </c>
      <c r="C64" s="335">
        <v>0</v>
      </c>
      <c r="D64" s="335">
        <v>0</v>
      </c>
      <c r="E64" s="335">
        <v>0</v>
      </c>
      <c r="F64" s="335">
        <v>0</v>
      </c>
    </row>
    <row r="65" spans="1:6">
      <c r="A65" s="1205" t="s">
        <v>56</v>
      </c>
      <c r="B65" s="1205" t="s">
        <v>29</v>
      </c>
      <c r="C65" s="335">
        <v>1</v>
      </c>
      <c r="D65" s="335">
        <v>25843.116258924802</v>
      </c>
      <c r="E65" s="335">
        <v>0</v>
      </c>
      <c r="F65" s="335">
        <v>0</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14</v>
      </c>
      <c r="F68" s="335">
        <v>163590.36846363201</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53541444</v>
      </c>
      <c r="E73" s="335">
        <v>46914260.38166105</v>
      </c>
    </row>
    <row r="74" spans="1:6">
      <c r="A74" s="1205" t="s">
        <v>64</v>
      </c>
      <c r="B74" s="1205" t="s">
        <v>772</v>
      </c>
      <c r="C74" s="1216" t="s">
        <v>766</v>
      </c>
      <c r="D74" s="335">
        <v>6189719.375394579</v>
      </c>
      <c r="E74" s="335">
        <v>5396476.3861156935</v>
      </c>
    </row>
    <row r="75" spans="1:6">
      <c r="A75" s="1205" t="s">
        <v>65</v>
      </c>
      <c r="B75" s="1205" t="s">
        <v>771</v>
      </c>
      <c r="C75" s="1216" t="s">
        <v>767</v>
      </c>
      <c r="D75" s="335">
        <v>19393660</v>
      </c>
      <c r="E75" s="335">
        <v>16754746.69412311</v>
      </c>
    </row>
    <row r="76" spans="1:6">
      <c r="A76" s="1205" t="s">
        <v>65</v>
      </c>
      <c r="B76" s="1205" t="s">
        <v>772</v>
      </c>
      <c r="C76" s="1216" t="s">
        <v>768</v>
      </c>
      <c r="D76" s="335">
        <v>1984676.375394579</v>
      </c>
      <c r="E76" s="335">
        <v>1613711.8860316765</v>
      </c>
    </row>
    <row r="77" spans="1:6">
      <c r="A77" s="1205" t="s">
        <v>66</v>
      </c>
      <c r="B77" s="1205" t="s">
        <v>771</v>
      </c>
      <c r="C77" s="1216" t="s">
        <v>769</v>
      </c>
      <c r="D77" s="335">
        <v>75527254</v>
      </c>
      <c r="E77" s="335">
        <v>91713919.120760575</v>
      </c>
    </row>
    <row r="78" spans="1:6">
      <c r="A78" s="1201" t="s">
        <v>66</v>
      </c>
      <c r="B78" s="1201" t="s">
        <v>772</v>
      </c>
      <c r="C78" s="1201" t="s">
        <v>770</v>
      </c>
      <c r="D78" s="1201">
        <v>12072279</v>
      </c>
      <c r="E78" s="1201">
        <v>12925734.770810576</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283077.24921084195</v>
      </c>
      <c r="C83" s="335">
        <v>267181.99065829854</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1876.8409134733217</v>
      </c>
    </row>
    <row r="92" spans="1:6">
      <c r="A92" s="1201" t="s">
        <v>69</v>
      </c>
      <c r="B92" s="338">
        <v>4864.2193549433532</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1406</v>
      </c>
    </row>
    <row r="98" spans="1:6">
      <c r="A98" s="1205" t="s">
        <v>72</v>
      </c>
      <c r="B98" s="335">
        <v>0</v>
      </c>
    </row>
    <row r="99" spans="1:6">
      <c r="A99" s="1205" t="s">
        <v>73</v>
      </c>
      <c r="B99" s="335">
        <v>175</v>
      </c>
    </row>
    <row r="100" spans="1:6">
      <c r="A100" s="1205" t="s">
        <v>74</v>
      </c>
      <c r="B100" s="335">
        <v>246</v>
      </c>
    </row>
    <row r="101" spans="1:6">
      <c r="A101" s="1205" t="s">
        <v>75</v>
      </c>
      <c r="B101" s="335">
        <v>105</v>
      </c>
    </row>
    <row r="102" spans="1:6">
      <c r="A102" s="1205" t="s">
        <v>76</v>
      </c>
      <c r="B102" s="335">
        <v>75</v>
      </c>
    </row>
    <row r="103" spans="1:6">
      <c r="A103" s="1205" t="s">
        <v>77</v>
      </c>
      <c r="B103" s="335">
        <v>138</v>
      </c>
    </row>
    <row r="104" spans="1:6">
      <c r="A104" s="1205" t="s">
        <v>78</v>
      </c>
      <c r="B104" s="335">
        <v>1332</v>
      </c>
    </row>
    <row r="105" spans="1:6">
      <c r="A105" s="1201" t="s">
        <v>79</v>
      </c>
      <c r="B105" s="1201">
        <v>1</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5</v>
      </c>
      <c r="C123" s="335">
        <v>5</v>
      </c>
    </row>
    <row r="124" spans="1:6">
      <c r="A124" s="1201" t="s">
        <v>89</v>
      </c>
      <c r="B124" s="335">
        <v>1</v>
      </c>
      <c r="C124" s="335">
        <v>3</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41</v>
      </c>
    </row>
    <row r="130" spans="1:6">
      <c r="A130" s="1205" t="s">
        <v>295</v>
      </c>
      <c r="B130" s="335">
        <v>0</v>
      </c>
    </row>
    <row r="131" spans="1:6">
      <c r="A131" s="1205" t="s">
        <v>296</v>
      </c>
      <c r="B131" s="335">
        <v>0</v>
      </c>
    </row>
    <row r="132" spans="1:6">
      <c r="A132" s="1201" t="s">
        <v>297</v>
      </c>
      <c r="B132" s="338">
        <v>3</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251628.98294971493</v>
      </c>
      <c r="C3" s="44" t="s">
        <v>170</v>
      </c>
      <c r="D3" s="44"/>
      <c r="E3" s="157"/>
      <c r="F3" s="44"/>
      <c r="G3" s="44"/>
      <c r="H3" s="44"/>
      <c r="I3" s="44"/>
      <c r="J3" s="44"/>
      <c r="K3" s="97"/>
    </row>
    <row r="4" spans="1:11">
      <c r="A4" s="365" t="s">
        <v>171</v>
      </c>
      <c r="B4" s="50">
        <f>IF(ISERROR('SEAP template'!B69),0,'SEAP template'!B69)</f>
        <v>21213.060268416673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3205.8291176470593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0.21510935423933564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4579.7558823529416</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20674.285714285714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0.2215194249341528</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626.048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626.048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0.21510935423933564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134.66878100282759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14476.418295573299</v>
      </c>
      <c r="C5" s="18">
        <f>IF(ISERROR('Eigen informatie GS &amp; warmtenet'!B57),0,'Eigen informatie GS &amp; warmtenet'!B57)</f>
        <v>0</v>
      </c>
      <c r="D5" s="31">
        <f>(SUM(HH_hh_gas_kWh,HH_rest_gas_kWh)/1000)*0.902</f>
        <v>31940.937901091802</v>
      </c>
      <c r="E5" s="18">
        <f>B46*B57</f>
        <v>5975.1821855780308</v>
      </c>
      <c r="F5" s="18">
        <f>B51*B62</f>
        <v>15953.774482884688</v>
      </c>
      <c r="G5" s="19"/>
      <c r="H5" s="18"/>
      <c r="I5" s="18"/>
      <c r="J5" s="18">
        <f>B50*B61+C50*C61</f>
        <v>2518.2501019565047</v>
      </c>
      <c r="K5" s="18"/>
      <c r="L5" s="18"/>
      <c r="M5" s="18"/>
      <c r="N5" s="18">
        <f>B48*B59+C48*C59</f>
        <v>11642.794619495635</v>
      </c>
      <c r="O5" s="18">
        <f>B69*B70*B71</f>
        <v>76.603333333333339</v>
      </c>
      <c r="P5" s="18">
        <f>B77*B78*B79/1000-B77*B78*B79/1000/B80</f>
        <v>171.6</v>
      </c>
    </row>
    <row r="6" spans="1:16">
      <c r="A6" s="17" t="s">
        <v>639</v>
      </c>
      <c r="B6" s="831">
        <f>kWh_PV_kleiner_dan_10kW</f>
        <v>1876.8409134733217</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16353.259209046621</v>
      </c>
      <c r="C8" s="22">
        <f>C5</f>
        <v>0</v>
      </c>
      <c r="D8" s="22">
        <f>D5</f>
        <v>31940.937901091802</v>
      </c>
      <c r="E8" s="22">
        <f>E5</f>
        <v>5975.1821855780308</v>
      </c>
      <c r="F8" s="22">
        <f>F5</f>
        <v>15953.774482884688</v>
      </c>
      <c r="G8" s="22"/>
      <c r="H8" s="22"/>
      <c r="I8" s="22"/>
      <c r="J8" s="22">
        <f>J5</f>
        <v>2518.2501019565047</v>
      </c>
      <c r="K8" s="22"/>
      <c r="L8" s="22">
        <f>L5</f>
        <v>0</v>
      </c>
      <c r="M8" s="22">
        <f>M5</f>
        <v>0</v>
      </c>
      <c r="N8" s="22">
        <f>N5</f>
        <v>11642.794619495635</v>
      </c>
      <c r="O8" s="22">
        <f>O5</f>
        <v>76.603333333333339</v>
      </c>
      <c r="P8" s="22">
        <f>P5</f>
        <v>171.6</v>
      </c>
    </row>
    <row r="9" spans="1:16">
      <c r="B9" s="20"/>
      <c r="C9" s="20"/>
      <c r="D9" s="262"/>
      <c r="E9" s="20"/>
      <c r="F9" s="20"/>
      <c r="G9" s="20"/>
      <c r="H9" s="20"/>
      <c r="I9" s="20"/>
      <c r="J9" s="20"/>
      <c r="K9" s="20"/>
      <c r="L9" s="20"/>
      <c r="M9" s="20"/>
      <c r="N9" s="20"/>
      <c r="O9" s="20"/>
      <c r="P9" s="20"/>
    </row>
    <row r="10" spans="1:16">
      <c r="A10" s="25" t="s">
        <v>214</v>
      </c>
      <c r="B10" s="26">
        <f ca="1">'EF ele_warmte'!B12</f>
        <v>0.21510935423933564</v>
      </c>
      <c r="C10" s="26">
        <f ca="1">'EF ele_warmte'!B22</f>
        <v>0.2215194249341528</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3517.7390281664871</v>
      </c>
      <c r="C12" s="24">
        <f ca="1">C10*C8</f>
        <v>0</v>
      </c>
      <c r="D12" s="24">
        <f>D8*D10</f>
        <v>6452.0694560205447</v>
      </c>
      <c r="E12" s="24">
        <f>E10*E8</f>
        <v>1356.3663561262131</v>
      </c>
      <c r="F12" s="24">
        <f>F10*F8</f>
        <v>4259.6577869302118</v>
      </c>
      <c r="G12" s="24"/>
      <c r="H12" s="24"/>
      <c r="I12" s="24"/>
      <c r="J12" s="24">
        <f>J10*J8</f>
        <v>891.46053609260264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1406</v>
      </c>
      <c r="C18" s="169" t="s">
        <v>111</v>
      </c>
      <c r="D18" s="231"/>
      <c r="E18" s="16"/>
    </row>
    <row r="19" spans="1:7">
      <c r="A19" s="174" t="s">
        <v>72</v>
      </c>
      <c r="B19" s="38">
        <f>aantalw2001_ander</f>
        <v>0</v>
      </c>
      <c r="C19" s="169" t="s">
        <v>111</v>
      </c>
      <c r="D19" s="232"/>
      <c r="E19" s="16"/>
    </row>
    <row r="20" spans="1:7">
      <c r="A20" s="174" t="s">
        <v>73</v>
      </c>
      <c r="B20" s="38">
        <f>aantalw2001_propaan</f>
        <v>175</v>
      </c>
      <c r="C20" s="170">
        <f>IF(ISERROR(B20/SUM($B$20,$B$21,$B$22)*100),0,B20/SUM($B$20,$B$21,$B$22)*100)</f>
        <v>33.269961977186313</v>
      </c>
      <c r="D20" s="232"/>
      <c r="E20" s="16"/>
    </row>
    <row r="21" spans="1:7">
      <c r="A21" s="174" t="s">
        <v>74</v>
      </c>
      <c r="B21" s="38">
        <f>aantalw2001_elektriciteit</f>
        <v>246</v>
      </c>
      <c r="C21" s="170">
        <f>IF(ISERROR(B21/SUM($B$20,$B$21,$B$22)*100),0,B21/SUM($B$20,$B$21,$B$22)*100)</f>
        <v>46.768060836501903</v>
      </c>
      <c r="D21" s="232"/>
      <c r="E21" s="16"/>
    </row>
    <row r="22" spans="1:7">
      <c r="A22" s="174" t="s">
        <v>75</v>
      </c>
      <c r="B22" s="38">
        <f>aantalw2001_hout</f>
        <v>105</v>
      </c>
      <c r="C22" s="170">
        <f>IF(ISERROR(B22/SUM($B$20,$B$21,$B$22)*100),0,B22/SUM($B$20,$B$21,$B$22)*100)</f>
        <v>19.961977186311788</v>
      </c>
      <c r="D22" s="232"/>
      <c r="E22" s="16"/>
    </row>
    <row r="23" spans="1:7">
      <c r="A23" s="174" t="s">
        <v>76</v>
      </c>
      <c r="B23" s="38">
        <f>aantalw2001_niet_gespec</f>
        <v>75</v>
      </c>
      <c r="C23" s="169" t="s">
        <v>111</v>
      </c>
      <c r="D23" s="231"/>
      <c r="E23" s="16"/>
    </row>
    <row r="24" spans="1:7">
      <c r="A24" s="174" t="s">
        <v>77</v>
      </c>
      <c r="B24" s="38">
        <f>aantalw2001_steenkool</f>
        <v>138</v>
      </c>
      <c r="C24" s="169" t="s">
        <v>111</v>
      </c>
      <c r="D24" s="232"/>
      <c r="E24" s="16"/>
    </row>
    <row r="25" spans="1:7">
      <c r="A25" s="174" t="s">
        <v>78</v>
      </c>
      <c r="B25" s="38">
        <f>aantalw2001_stookolie</f>
        <v>1332</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3700</v>
      </c>
      <c r="C28" s="37"/>
      <c r="D28" s="231"/>
    </row>
    <row r="29" spans="1:7" s="16" customFormat="1">
      <c r="A29" s="233" t="s">
        <v>666</v>
      </c>
      <c r="B29" s="38">
        <f>SUM(HH_hh_gas_aantal,HH_rest_gas_aantal)</f>
        <v>1988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1988</v>
      </c>
      <c r="C32" s="170">
        <f>IF(ISERROR(B32/SUM($B$32,$B$34,$B$35,$B$36,$B$38,$B$39)*100),0,B32/SUM($B$32,$B$34,$B$35,$B$36,$B$38,$B$39)*100)</f>
        <v>53.860742346247626</v>
      </c>
      <c r="D32" s="236"/>
      <c r="G32" s="16"/>
    </row>
    <row r="33" spans="1:7">
      <c r="A33" s="174" t="s">
        <v>72</v>
      </c>
      <c r="B33" s="35" t="s">
        <v>111</v>
      </c>
      <c r="C33" s="170"/>
      <c r="D33" s="236"/>
      <c r="G33" s="16"/>
    </row>
    <row r="34" spans="1:7">
      <c r="A34" s="174" t="s">
        <v>73</v>
      </c>
      <c r="B34" s="34">
        <f>IF((($B$28-$B$32-$B$39-$B$77-$B$38)*C20/100)&lt;0,0,($B$28-$B$32-$B$39-$B$77-$B$38)*C20/100)</f>
        <v>271.15019011406849</v>
      </c>
      <c r="C34" s="170">
        <f>IF(ISERROR(B34/SUM($B$32,$B$34,$B$35,$B$36,$B$38,$B$39)*100),0,B34/SUM($B$32,$B$34,$B$35,$B$36,$B$38,$B$39)*100)</f>
        <v>7.3462527801156448</v>
      </c>
      <c r="D34" s="236"/>
      <c r="G34" s="16"/>
    </row>
    <row r="35" spans="1:7">
      <c r="A35" s="174" t="s">
        <v>74</v>
      </c>
      <c r="B35" s="34">
        <f>IF((($B$28-$B$32-$B$39-$B$77-$B$38)*C21/100)&lt;0,0,($B$28-$B$32-$B$39-$B$77-$B$38)*C21/100)</f>
        <v>381.15969581749056</v>
      </c>
      <c r="C35" s="170">
        <f>IF(ISERROR(B35/SUM($B$32,$B$34,$B$35,$B$36,$B$38,$B$39)*100),0,B35/SUM($B$32,$B$34,$B$35,$B$36,$B$38,$B$39)*100)</f>
        <v>10.326732479476849</v>
      </c>
      <c r="D35" s="236"/>
      <c r="G35" s="16"/>
    </row>
    <row r="36" spans="1:7">
      <c r="A36" s="174" t="s">
        <v>75</v>
      </c>
      <c r="B36" s="34">
        <f>IF((($B$28-$B$32-$B$39-$B$77-$B$38)*C22/100)&lt;0,0,($B$28-$B$32-$B$39-$B$77-$B$38)*C22/100)</f>
        <v>162.69011406844109</v>
      </c>
      <c r="C36" s="170">
        <f>IF(ISERROR(B36/SUM($B$32,$B$34,$B$35,$B$36,$B$38,$B$39)*100),0,B36/SUM($B$32,$B$34,$B$35,$B$36,$B$38,$B$39)*100)</f>
        <v>4.4077516680693867</v>
      </c>
      <c r="D36" s="236"/>
      <c r="G36" s="16"/>
    </row>
    <row r="37" spans="1:7">
      <c r="A37" s="174" t="s">
        <v>76</v>
      </c>
      <c r="B37" s="35" t="s">
        <v>111</v>
      </c>
      <c r="C37" s="170"/>
      <c r="D37" s="176"/>
      <c r="G37" s="16"/>
    </row>
    <row r="38" spans="1:7">
      <c r="A38" s="174" t="s">
        <v>77</v>
      </c>
      <c r="B38" s="34">
        <f>IF((B24-(B29-B18)*0.1)&lt;0,0,B24-(B29-B18)*0.1)</f>
        <v>79.8</v>
      </c>
      <c r="C38" s="170">
        <f>IF(ISERROR(B38/SUM($B$32,$B$34,$B$35,$B$36,$B$38,$B$39)*100),0,B38/SUM($B$32,$B$34,$B$35,$B$36,$B$38,$B$39)*100)</f>
        <v>2.1620157138986724</v>
      </c>
      <c r="D38" s="237"/>
      <c r="G38" s="16"/>
    </row>
    <row r="39" spans="1:7">
      <c r="A39" s="174" t="s">
        <v>78</v>
      </c>
      <c r="B39" s="34">
        <f>IF((B25-(B29-B18))&lt;0,0,B25-(B29-B18)*0.9)</f>
        <v>808.19999999999993</v>
      </c>
      <c r="C39" s="170">
        <f>IF(ISERROR(B39/SUM($B$32,$B$34,$B$35,$B$36,$B$38,$B$39)*100),0,B39/SUM($B$32,$B$34,$B$35,$B$36,$B$38,$B$39)*100)</f>
        <v>21.896505012191813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1988</v>
      </c>
      <c r="C44" s="35" t="s">
        <v>111</v>
      </c>
      <c r="D44" s="177"/>
    </row>
    <row r="45" spans="1:7">
      <c r="A45" s="174" t="s">
        <v>72</v>
      </c>
      <c r="B45" s="34" t="str">
        <f t="shared" si="0"/>
        <v>-</v>
      </c>
      <c r="C45" s="35" t="s">
        <v>111</v>
      </c>
      <c r="D45" s="177"/>
    </row>
    <row r="46" spans="1:7">
      <c r="A46" s="174" t="s">
        <v>73</v>
      </c>
      <c r="B46" s="34">
        <f t="shared" si="0"/>
        <v>271.15019011406849</v>
      </c>
      <c r="C46" s="35" t="s">
        <v>111</v>
      </c>
      <c r="D46" s="177"/>
    </row>
    <row r="47" spans="1:7">
      <c r="A47" s="174" t="s">
        <v>74</v>
      </c>
      <c r="B47" s="34">
        <f t="shared" si="0"/>
        <v>381.15969581749056</v>
      </c>
      <c r="C47" s="35" t="s">
        <v>111</v>
      </c>
      <c r="D47" s="177"/>
    </row>
    <row r="48" spans="1:7">
      <c r="A48" s="174" t="s">
        <v>75</v>
      </c>
      <c r="B48" s="34">
        <f t="shared" si="0"/>
        <v>162.69011406844109</v>
      </c>
      <c r="C48" s="34">
        <f>B48*10</f>
        <v>1626.9011406844108</v>
      </c>
      <c r="D48" s="237"/>
    </row>
    <row r="49" spans="1:6">
      <c r="A49" s="174" t="s">
        <v>76</v>
      </c>
      <c r="B49" s="34" t="str">
        <f t="shared" si="0"/>
        <v>-</v>
      </c>
      <c r="C49" s="35" t="s">
        <v>111</v>
      </c>
      <c r="D49" s="237"/>
    </row>
    <row r="50" spans="1:6">
      <c r="A50" s="174" t="s">
        <v>77</v>
      </c>
      <c r="B50" s="34">
        <f t="shared" si="0"/>
        <v>79.8</v>
      </c>
      <c r="C50" s="34">
        <f>B50*2</f>
        <v>159.6</v>
      </c>
      <c r="D50" s="237"/>
    </row>
    <row r="51" spans="1:6">
      <c r="A51" s="174" t="s">
        <v>78</v>
      </c>
      <c r="B51" s="34">
        <f t="shared" si="0"/>
        <v>808.19999999999993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9349.0492819355568</v>
      </c>
      <c r="C5" s="18">
        <f>IF(ISERROR('Eigen informatie GS &amp; warmtenet'!B58),0,'Eigen informatie GS &amp; warmtenet'!B58)</f>
        <v>0</v>
      </c>
      <c r="D5" s="31">
        <f>SUM(D6:D12)</f>
        <v>34825.279861490184</v>
      </c>
      <c r="E5" s="18">
        <f>SUM(E6:E12)</f>
        <v>82.12671294530486</v>
      </c>
      <c r="F5" s="18">
        <f>SUM(F6:F12)</f>
        <v>1929.1337980453197</v>
      </c>
      <c r="G5" s="19"/>
      <c r="H5" s="18"/>
      <c r="I5" s="18"/>
      <c r="J5" s="18">
        <f>SUM(J6:J12)</f>
        <v>0</v>
      </c>
      <c r="K5" s="18"/>
      <c r="L5" s="18"/>
      <c r="M5" s="18"/>
      <c r="N5" s="18">
        <f>SUM(N6:N12)</f>
        <v>444.2242497870518</v>
      </c>
      <c r="O5" s="18">
        <f>B38*B39*B40</f>
        <v>0</v>
      </c>
      <c r="P5" s="18">
        <f>B46*B47*B48/1000-B46*B47*B48/1000/B49</f>
        <v>0</v>
      </c>
      <c r="R5" s="33"/>
    </row>
    <row r="6" spans="1:18">
      <c r="A6" s="33" t="s">
        <v>54</v>
      </c>
      <c r="B6" s="38">
        <f>B26</f>
        <v>1137.27374754161</v>
      </c>
      <c r="C6" s="34"/>
      <c r="D6" s="38">
        <f>IF(ISERROR(TER_kantoor_gas_kWh/1000),0,TER_kantoor_gas_kWh/1000)*0.902</f>
        <v>2968.7810919166564</v>
      </c>
      <c r="E6" s="34">
        <f>$C$26*'E Balans VL '!I12/100/3.6*1000000</f>
        <v>1.8664967176380867</v>
      </c>
      <c r="F6" s="34">
        <f>$C$26*('E Balans VL '!L12+'E Balans VL '!N12)/100/3.6*1000000</f>
        <v>134.05781623698959</v>
      </c>
      <c r="G6" s="35"/>
      <c r="H6" s="34"/>
      <c r="I6" s="34"/>
      <c r="J6" s="34">
        <f>$C$26*('E Balans VL '!D12+'E Balans VL '!E12)/100/3.6*1000000</f>
        <v>0</v>
      </c>
      <c r="K6" s="34"/>
      <c r="L6" s="34"/>
      <c r="M6" s="34"/>
      <c r="N6" s="34">
        <f>$C$26*'E Balans VL '!Y12/100/3.6*1000000</f>
        <v>0.22978077525869633</v>
      </c>
      <c r="O6" s="34"/>
      <c r="P6" s="34"/>
      <c r="R6" s="33"/>
    </row>
    <row r="7" spans="1:18">
      <c r="A7" s="33" t="s">
        <v>53</v>
      </c>
      <c r="B7" s="38">
        <f t="shared" ref="B7:B12" si="0">B27</f>
        <v>619.61337433710992</v>
      </c>
      <c r="C7" s="34"/>
      <c r="D7" s="38">
        <f>IF(ISERROR(TER_horeca_gas_kWh/1000),0,TER_horeca_gas_kWh/1000)*0.902</f>
        <v>783.10798759844886</v>
      </c>
      <c r="E7" s="34">
        <f>$C$27*'E Balans VL '!I9/100/3.6*1000000</f>
        <v>32.15345050977345</v>
      </c>
      <c r="F7" s="34">
        <f>$C$27*('E Balans VL '!L9+'E Balans VL '!N9)/100/3.6*1000000</f>
        <v>141.39622161742122</v>
      </c>
      <c r="G7" s="35"/>
      <c r="H7" s="34"/>
      <c r="I7" s="34"/>
      <c r="J7" s="34">
        <f>$C$27*('E Balans VL '!D9+'E Balans VL '!E9)/100/3.6*1000000</f>
        <v>0</v>
      </c>
      <c r="K7" s="34"/>
      <c r="L7" s="34"/>
      <c r="M7" s="34"/>
      <c r="N7" s="34">
        <f>$C$27*'E Balans VL '!Y9/100/3.6*1000000</f>
        <v>6.5430888379782032E-2</v>
      </c>
      <c r="O7" s="34"/>
      <c r="P7" s="34"/>
      <c r="R7" s="33"/>
    </row>
    <row r="8" spans="1:18">
      <c r="A8" s="6" t="s">
        <v>52</v>
      </c>
      <c r="B8" s="38">
        <f t="shared" si="0"/>
        <v>4026.9029681734801</v>
      </c>
      <c r="C8" s="34"/>
      <c r="D8" s="38">
        <f>IF(ISERROR(TER_handel_gas_kWh/1000),0,TER_handel_gas_kWh/1000)*0.902</f>
        <v>255.57471413685008</v>
      </c>
      <c r="E8" s="34">
        <f>$C$28*'E Balans VL '!I13/100/3.6*1000000</f>
        <v>21.685367324219346</v>
      </c>
      <c r="F8" s="34">
        <f>$C$28*('E Balans VL '!L13+'E Balans VL '!N13)/100/3.6*1000000</f>
        <v>821.20518398860725</v>
      </c>
      <c r="G8" s="35"/>
      <c r="H8" s="34"/>
      <c r="I8" s="34"/>
      <c r="J8" s="34">
        <f>$C$28*('E Balans VL '!D13+'E Balans VL '!E13)/100/3.6*1000000</f>
        <v>0</v>
      </c>
      <c r="K8" s="34"/>
      <c r="L8" s="34"/>
      <c r="M8" s="34"/>
      <c r="N8" s="34">
        <f>$C$28*'E Balans VL '!Y13/100/3.6*1000000</f>
        <v>20.023661914196015</v>
      </c>
      <c r="O8" s="34"/>
      <c r="P8" s="34"/>
      <c r="R8" s="33"/>
    </row>
    <row r="9" spans="1:18">
      <c r="A9" s="33" t="s">
        <v>51</v>
      </c>
      <c r="B9" s="38">
        <f t="shared" si="0"/>
        <v>507.81668322138398</v>
      </c>
      <c r="C9" s="34"/>
      <c r="D9" s="38">
        <f>IF(ISERROR(TER_gezond_gas_kWh/1000),0,TER_gezond_gas_kWh/1000)*0.902</f>
        <v>1032.6117443522194</v>
      </c>
      <c r="E9" s="34">
        <f>$C$29*'E Balans VL '!I10/100/3.6*1000000</f>
        <v>0.50325210793981323</v>
      </c>
      <c r="F9" s="34">
        <f>$C$29*('E Balans VL '!L10+'E Balans VL '!N10)/100/3.6*1000000</f>
        <v>176.19775182347524</v>
      </c>
      <c r="G9" s="35"/>
      <c r="H9" s="34"/>
      <c r="I9" s="34"/>
      <c r="J9" s="34">
        <f>$C$29*('E Balans VL '!D10+'E Balans VL '!E10)/100/3.6*1000000</f>
        <v>0</v>
      </c>
      <c r="K9" s="34"/>
      <c r="L9" s="34"/>
      <c r="M9" s="34"/>
      <c r="N9" s="34">
        <f>$C$29*'E Balans VL '!Y10/100/3.6*1000000</f>
        <v>4.3758123673703082</v>
      </c>
      <c r="O9" s="34"/>
      <c r="P9" s="34"/>
      <c r="R9" s="33"/>
    </row>
    <row r="10" spans="1:18">
      <c r="A10" s="33" t="s">
        <v>50</v>
      </c>
      <c r="B10" s="38">
        <f t="shared" si="0"/>
        <v>431.96645182902398</v>
      </c>
      <c r="C10" s="34"/>
      <c r="D10" s="38">
        <f>IF(ISERROR(TER_ander_gas_kWh/1000),0,TER_ander_gas_kWh/1000)*0.902</f>
        <v>323.62961735148076</v>
      </c>
      <c r="E10" s="34">
        <f>$C$30*'E Balans VL '!I14/100/3.6*1000000</f>
        <v>3.533917295683874</v>
      </c>
      <c r="F10" s="34">
        <f>$C$30*('E Balans VL '!L14+'E Balans VL '!N14)/100/3.6*1000000</f>
        <v>126.28940443219867</v>
      </c>
      <c r="G10" s="35"/>
      <c r="H10" s="34"/>
      <c r="I10" s="34"/>
      <c r="J10" s="34">
        <f>$C$30*('E Balans VL '!D14+'E Balans VL '!E14)/100/3.6*1000000</f>
        <v>0</v>
      </c>
      <c r="K10" s="34"/>
      <c r="L10" s="34"/>
      <c r="M10" s="34"/>
      <c r="N10" s="34">
        <f>$C$30*'E Balans VL '!Y14/100/3.6*1000000</f>
        <v>249.18796391782507</v>
      </c>
      <c r="O10" s="34"/>
      <c r="P10" s="34"/>
      <c r="R10" s="33"/>
    </row>
    <row r="11" spans="1:18">
      <c r="A11" s="33" t="s">
        <v>55</v>
      </c>
      <c r="B11" s="38">
        <f t="shared" si="0"/>
        <v>37.484952686889898</v>
      </c>
      <c r="C11" s="34"/>
      <c r="D11" s="38">
        <f>IF(ISERROR(TER_onderwijs_gas_kWh/1000),0,TER_onderwijs_gas_kWh/1000)*0.902</f>
        <v>295.88053627552318</v>
      </c>
      <c r="E11" s="34">
        <f>$C$31*'E Balans VL '!I11/100/3.6*1000000</f>
        <v>2.3104143189016265E-2</v>
      </c>
      <c r="F11" s="34">
        <f>$C$31*('E Balans VL '!L11+'E Balans VL '!N11)/100/3.6*1000000</f>
        <v>14.492289765164678</v>
      </c>
      <c r="G11" s="35"/>
      <c r="H11" s="34"/>
      <c r="I11" s="34"/>
      <c r="J11" s="34">
        <f>$C$31*('E Balans VL '!D11+'E Balans VL '!E11)/100/3.6*1000000</f>
        <v>0</v>
      </c>
      <c r="K11" s="34"/>
      <c r="L11" s="34"/>
      <c r="M11" s="34"/>
      <c r="N11" s="34">
        <f>$C$31*'E Balans VL '!Y11/100/3.6*1000000</f>
        <v>0.12193051823660506</v>
      </c>
      <c r="O11" s="34"/>
      <c r="P11" s="34"/>
      <c r="R11" s="33"/>
    </row>
    <row r="12" spans="1:18">
      <c r="A12" s="33" t="s">
        <v>260</v>
      </c>
      <c r="B12" s="38">
        <f t="shared" si="0"/>
        <v>2587.99110414606</v>
      </c>
      <c r="C12" s="34"/>
      <c r="D12" s="38">
        <f>IF(ISERROR(TER_rest_gas_kWh/1000),0,TER_rest_gas_kWh/1000)*0.902</f>
        <v>29165.694169859005</v>
      </c>
      <c r="E12" s="34">
        <f>$C$32*'E Balans VL '!I8/100/3.6*1000000</f>
        <v>22.361124846861273</v>
      </c>
      <c r="F12" s="34">
        <f>$C$32*('E Balans VL '!L8+'E Balans VL '!N8)/100/3.6*1000000</f>
        <v>515.49513018146308</v>
      </c>
      <c r="G12" s="35"/>
      <c r="H12" s="34"/>
      <c r="I12" s="34"/>
      <c r="J12" s="34">
        <f>$C$32*('E Balans VL '!D8+'E Balans VL '!E8)/100/3.6*1000000</f>
        <v>0</v>
      </c>
      <c r="K12" s="34"/>
      <c r="L12" s="34"/>
      <c r="M12" s="34"/>
      <c r="N12" s="34">
        <f>$C$32*'E Balans VL '!Y8/100/3.6*1000000</f>
        <v>170.21966940578531</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9349.0492819355568</v>
      </c>
      <c r="C16" s="22">
        <f t="shared" ca="1" si="1"/>
        <v>0</v>
      </c>
      <c r="D16" s="22">
        <f t="shared" ca="1" si="1"/>
        <v>34825.279861490184</v>
      </c>
      <c r="E16" s="22">
        <f t="shared" si="1"/>
        <v>82.12671294530486</v>
      </c>
      <c r="F16" s="22">
        <f t="shared" ca="1" si="1"/>
        <v>1929.1337980453197</v>
      </c>
      <c r="G16" s="22">
        <f t="shared" si="1"/>
        <v>0</v>
      </c>
      <c r="H16" s="22">
        <f t="shared" si="1"/>
        <v>0</v>
      </c>
      <c r="I16" s="22">
        <f t="shared" si="1"/>
        <v>0</v>
      </c>
      <c r="J16" s="22">
        <f t="shared" si="1"/>
        <v>0</v>
      </c>
      <c r="K16" s="22">
        <f t="shared" si="1"/>
        <v>0</v>
      </c>
      <c r="L16" s="22">
        <f t="shared" ca="1" si="1"/>
        <v>0</v>
      </c>
      <c r="M16" s="22">
        <f t="shared" si="1"/>
        <v>0</v>
      </c>
      <c r="N16" s="22">
        <f t="shared" ca="1" si="1"/>
        <v>444.2242497870518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0.21510935423933564</v>
      </c>
      <c r="C18" s="26">
        <f ca="1">'EF ele_warmte'!B22</f>
        <v>0.2215194249341528</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2011.0679537888821</v>
      </c>
      <c r="C20" s="24">
        <f t="shared" ref="C20:P20" ca="1" si="2">C16*C18</f>
        <v>0</v>
      </c>
      <c r="D20" s="24">
        <f t="shared" ca="1" si="2"/>
        <v>7034.7065320210177</v>
      </c>
      <c r="E20" s="24">
        <f t="shared" si="2"/>
        <v>18.642763838584205</v>
      </c>
      <c r="F20" s="24">
        <f t="shared" ca="1" si="2"/>
        <v>515.07872407810044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1137.27374754161</v>
      </c>
      <c r="C26" s="40">
        <f>IF(ISERROR(B26*3.6/1000000/'E Balans VL '!Z12*100),0,B26*3.6/1000000/'E Balans VL '!Z12*100)</f>
        <v>2.4166251560949661E-2</v>
      </c>
      <c r="D26" s="240" t="s">
        <v>707</v>
      </c>
      <c r="F26" s="6"/>
    </row>
    <row r="27" spans="1:18">
      <c r="A27" s="234" t="s">
        <v>53</v>
      </c>
      <c r="B27" s="34">
        <f>IF(ISERROR(TER_horeca_ele_kWh/1000),0,TER_horeca_ele_kWh/1000)</f>
        <v>619.61337433710992</v>
      </c>
      <c r="C27" s="40">
        <f>IF(ISERROR(B27*3.6/1000000/'E Balans VL '!Z9*100),0,B27*3.6/1000000/'E Balans VL '!Z9*100)</f>
        <v>4.8768364009775425E-2</v>
      </c>
      <c r="D27" s="240" t="s">
        <v>707</v>
      </c>
      <c r="F27" s="6"/>
    </row>
    <row r="28" spans="1:18">
      <c r="A28" s="174" t="s">
        <v>52</v>
      </c>
      <c r="B28" s="34">
        <f>IF(ISERROR(TER_handel_ele_kWh/1000),0,TER_handel_ele_kWh/1000)</f>
        <v>4026.9029681734801</v>
      </c>
      <c r="C28" s="40">
        <f>IF(ISERROR(B28*3.6/1000000/'E Balans VL '!Z13*100),0,B28*3.6/1000000/'E Balans VL '!Z13*100)</f>
        <v>0.11279570725192449</v>
      </c>
      <c r="D28" s="240" t="s">
        <v>707</v>
      </c>
      <c r="F28" s="6"/>
    </row>
    <row r="29" spans="1:18">
      <c r="A29" s="234" t="s">
        <v>51</v>
      </c>
      <c r="B29" s="34">
        <f>IF(ISERROR(TER_gezond_ele_kWh/1000),0,TER_gezond_ele_kWh/1000)</f>
        <v>507.81668322138398</v>
      </c>
      <c r="C29" s="40">
        <f>IF(ISERROR(B29*3.6/1000000/'E Balans VL '!Z10*100),0,B29*3.6/1000000/'E Balans VL '!Z10*100)</f>
        <v>6.4965109542071811E-2</v>
      </c>
      <c r="D29" s="240" t="s">
        <v>707</v>
      </c>
      <c r="F29" s="6"/>
    </row>
    <row r="30" spans="1:18">
      <c r="A30" s="234" t="s">
        <v>50</v>
      </c>
      <c r="B30" s="34">
        <f>IF(ISERROR(TER_ander_ele_kWh/1000),0,TER_ander_ele_kWh/1000)</f>
        <v>431.96645182902398</v>
      </c>
      <c r="C30" s="40">
        <f>IF(ISERROR(B30*3.6/1000000/'E Balans VL '!Z14*100),0,B30*3.6/1000000/'E Balans VL '!Z14*100)</f>
        <v>3.2307450783904353E-2</v>
      </c>
      <c r="D30" s="240" t="s">
        <v>707</v>
      </c>
      <c r="F30" s="6"/>
    </row>
    <row r="31" spans="1:18">
      <c r="A31" s="234" t="s">
        <v>55</v>
      </c>
      <c r="B31" s="34">
        <f>IF(ISERROR(TER_onderwijs_ele_kWh/1000),0,TER_onderwijs_ele_kWh/1000)</f>
        <v>37.484952686889898</v>
      </c>
      <c r="C31" s="40">
        <f>IF(ISERROR(B31*3.6/1000000/'E Balans VL '!Z11*100),0,B31*3.6/1000000/'E Balans VL '!Z11*100)</f>
        <v>7.9149963152616055E-3</v>
      </c>
      <c r="D31" s="240" t="s">
        <v>707</v>
      </c>
    </row>
    <row r="32" spans="1:18">
      <c r="A32" s="234" t="s">
        <v>260</v>
      </c>
      <c r="B32" s="34">
        <f>IF(ISERROR(TER_rest_ele_kWh/1000),0,TER_rest_ele_kWh/1000)</f>
        <v>2587.99110414606</v>
      </c>
      <c r="C32" s="40">
        <f>IF(ISERROR(B32*3.6/1000000/'E Balans VL '!Z8*100),0,B32*3.6/1000000/'E Balans VL '!Z8*100)</f>
        <v>2.1319694901917437E-2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216676.33869361324</v>
      </c>
      <c r="C5" s="18">
        <f>IF(ISERROR('Eigen informatie GS &amp; warmtenet'!B59),0,'Eigen informatie GS &amp; warmtenet'!B59)</f>
        <v>0</v>
      </c>
      <c r="D5" s="31">
        <f>SUM(D6:D15)</f>
        <v>117044.55098449247</v>
      </c>
      <c r="E5" s="18">
        <f>SUM(E6:E15)</f>
        <v>2054.6748819634413</v>
      </c>
      <c r="F5" s="18">
        <f>SUM(F6:F15)</f>
        <v>32716.978399564643</v>
      </c>
      <c r="G5" s="19"/>
      <c r="H5" s="18"/>
      <c r="I5" s="18"/>
      <c r="J5" s="18">
        <f>SUM(J6:J15)</f>
        <v>400.97672877504692</v>
      </c>
      <c r="K5" s="18"/>
      <c r="L5" s="18"/>
      <c r="M5" s="18"/>
      <c r="N5" s="18">
        <f>SUM(N6:N15)</f>
        <v>4608.1378480787862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460.66589636871299</v>
      </c>
      <c r="C8" s="34"/>
      <c r="D8" s="38">
        <f>IF( ISERROR(IND_metaal_Gas_kWH/1000),0,IND_metaal_Gas_kWH/1000)*0.902</f>
        <v>75.1682211206208</v>
      </c>
      <c r="E8" s="34">
        <f>C30*'E Balans VL '!I18/100/3.6*1000000</f>
        <v>4.1952013005440767</v>
      </c>
      <c r="F8" s="34">
        <f>C30*'E Balans VL '!L18/100/3.6*1000000+C30*'E Balans VL '!N18/100/3.6*1000000</f>
        <v>60.758333374130046</v>
      </c>
      <c r="G8" s="35"/>
      <c r="H8" s="34"/>
      <c r="I8" s="34"/>
      <c r="J8" s="41">
        <f>C30*'E Balans VL '!D18/100/3.6*1000000+C30*'E Balans VL '!E18/100/3.6*1000000</f>
        <v>7.5542518376503933</v>
      </c>
      <c r="K8" s="34"/>
      <c r="L8" s="34"/>
      <c r="M8" s="34"/>
      <c r="N8" s="34">
        <f>C30*'E Balans VL '!Y18/100/3.6*1000000</f>
        <v>1.5831256867613619</v>
      </c>
      <c r="O8" s="34"/>
      <c r="P8" s="34"/>
      <c r="R8" s="33"/>
    </row>
    <row r="9" spans="1:18">
      <c r="A9" s="6" t="s">
        <v>33</v>
      </c>
      <c r="B9" s="38">
        <f t="shared" si="0"/>
        <v>2838.2057675569999</v>
      </c>
      <c r="C9" s="34"/>
      <c r="D9" s="38">
        <f>IF( ISERROR(IND_andere_gas_kWh/1000),0,IND_andere_gas_kWh/1000)*0.902</f>
        <v>898.65746317188803</v>
      </c>
      <c r="E9" s="34">
        <f>C31*'E Balans VL '!I19/100/3.6*1000000</f>
        <v>16.405253471249971</v>
      </c>
      <c r="F9" s="34">
        <f>C31*'E Balans VL '!L19/100/3.6*1000000+C31*'E Balans VL '!N19/100/3.6*1000000</f>
        <v>2257.9292571488918</v>
      </c>
      <c r="G9" s="35"/>
      <c r="H9" s="34"/>
      <c r="I9" s="34"/>
      <c r="J9" s="41">
        <f>C31*'E Balans VL '!D19/100/3.6*1000000+C31*'E Balans VL '!E19/100/3.6*1000000</f>
        <v>0.26846273971415924</v>
      </c>
      <c r="K9" s="34"/>
      <c r="L9" s="34"/>
      <c r="M9" s="34"/>
      <c r="N9" s="34">
        <f>C31*'E Balans VL '!Y19/100/3.6*1000000</f>
        <v>215.0370383323633</v>
      </c>
      <c r="O9" s="34"/>
      <c r="P9" s="34"/>
      <c r="R9" s="33"/>
    </row>
    <row r="10" spans="1:18">
      <c r="A10" s="6" t="s">
        <v>41</v>
      </c>
      <c r="B10" s="38">
        <f t="shared" si="0"/>
        <v>135179.21009922901</v>
      </c>
      <c r="C10" s="34"/>
      <c r="D10" s="38">
        <f>IF( ISERROR(IND_voed_gas_kWh/1000),0,IND_voed_gas_kWh/1000)*0.902</f>
        <v>66366.58134851561</v>
      </c>
      <c r="E10" s="34">
        <f>C32*'E Balans VL '!I20/100/3.6*1000000</f>
        <v>1329.1652845436436</v>
      </c>
      <c r="F10" s="34">
        <f>C32*'E Balans VL '!L20/100/3.6*1000000+C32*'E Balans VL '!N20/100/3.6*1000000</f>
        <v>15013.415727677941</v>
      </c>
      <c r="G10" s="35"/>
      <c r="H10" s="34"/>
      <c r="I10" s="34"/>
      <c r="J10" s="41">
        <f>C32*'E Balans VL '!D20/100/3.6*1000000+C32*'E Balans VL '!E20/100/3.6*1000000</f>
        <v>0.53280263466981259</v>
      </c>
      <c r="K10" s="34"/>
      <c r="L10" s="34"/>
      <c r="M10" s="34"/>
      <c r="N10" s="34">
        <f>C32*'E Balans VL '!Y20/100/3.6*1000000</f>
        <v>2001.6861265504047</v>
      </c>
      <c r="O10" s="34"/>
      <c r="P10" s="34"/>
      <c r="R10" s="33"/>
    </row>
    <row r="11" spans="1:18">
      <c r="A11" s="6" t="s">
        <v>40</v>
      </c>
      <c r="B11" s="38">
        <f t="shared" si="0"/>
        <v>192.09679601975699</v>
      </c>
      <c r="C11" s="34"/>
      <c r="D11" s="38">
        <f>IF( ISERROR(IND_textiel_gas_kWh/1000),0,IND_textiel_gas_kWh/1000)*0.902</f>
        <v>54.500469750938969</v>
      </c>
      <c r="E11" s="34">
        <f>C33*'E Balans VL '!I21/100/3.6*1000000</f>
        <v>0.37405706804160405</v>
      </c>
      <c r="F11" s="34">
        <f>C33*'E Balans VL '!L21/100/3.6*1000000+C33*'E Balans VL '!N21/100/3.6*1000000</f>
        <v>6.3359826990558776</v>
      </c>
      <c r="G11" s="35"/>
      <c r="H11" s="34"/>
      <c r="I11" s="34"/>
      <c r="J11" s="41">
        <f>C33*'E Balans VL '!D21/100/3.6*1000000+C33*'E Balans VL '!E21/100/3.6*1000000</f>
        <v>0</v>
      </c>
      <c r="K11" s="34"/>
      <c r="L11" s="34"/>
      <c r="M11" s="34"/>
      <c r="N11" s="34">
        <f>C33*'E Balans VL '!Y21/100/3.6*1000000</f>
        <v>1.9925490233559711</v>
      </c>
      <c r="O11" s="34"/>
      <c r="P11" s="34"/>
      <c r="R11" s="33"/>
    </row>
    <row r="12" spans="1:18">
      <c r="A12" s="6" t="s">
        <v>37</v>
      </c>
      <c r="B12" s="38">
        <f t="shared" si="0"/>
        <v>219.712775933872</v>
      </c>
      <c r="C12" s="34"/>
      <c r="D12" s="38">
        <f>IF( ISERROR(IND_min_gas_kWh/1000),0,IND_min_gas_kWh/1000)*0.902</f>
        <v>0</v>
      </c>
      <c r="E12" s="34">
        <f>C34*'E Balans VL '!I22/100/3.6*1000000</f>
        <v>5.5701098477269753</v>
      </c>
      <c r="F12" s="34">
        <f>C34*'E Balans VL '!L22/100/3.6*1000000+C34*'E Balans VL '!N22/100/3.6*1000000</f>
        <v>60.795290929617849</v>
      </c>
      <c r="G12" s="35"/>
      <c r="H12" s="34"/>
      <c r="I12" s="34"/>
      <c r="J12" s="41">
        <f>C34*'E Balans VL '!D22/100/3.6*1000000+C34*'E Balans VL '!E22/100/3.6*1000000</f>
        <v>1.4510273237534717</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77786.447358504913</v>
      </c>
      <c r="C15" s="34"/>
      <c r="D15" s="38">
        <f>IF( ISERROR(IND_rest_gas_kWh/1000),0,IND_rest_gas_kWh/1000)*0.902</f>
        <v>49649.643481933417</v>
      </c>
      <c r="E15" s="34">
        <f>C37*'E Balans VL '!I15/100/3.6*1000000</f>
        <v>698.96497573223473</v>
      </c>
      <c r="F15" s="34">
        <f>C37*'E Balans VL '!L15/100/3.6*1000000+C37*'E Balans VL '!N15/100/3.6*1000000</f>
        <v>15317.743807735005</v>
      </c>
      <c r="G15" s="35"/>
      <c r="H15" s="34"/>
      <c r="I15" s="34"/>
      <c r="J15" s="41">
        <f>C37*'E Balans VL '!D15/100/3.6*1000000+C37*'E Balans VL '!E15/100/3.6*1000000</f>
        <v>391.17018423925907</v>
      </c>
      <c r="K15" s="34"/>
      <c r="L15" s="34"/>
      <c r="M15" s="34"/>
      <c r="N15" s="34">
        <f>C37*'E Balans VL '!Y15/100/3.6*1000000</f>
        <v>2387.8390084859011</v>
      </c>
      <c r="O15" s="34"/>
      <c r="P15" s="34"/>
      <c r="R15" s="33"/>
    </row>
    <row r="16" spans="1:18">
      <c r="A16" s="17" t="s">
        <v>502</v>
      </c>
      <c r="B16" s="250">
        <f>'lokale energieproductie'!N89+'lokale energieproductie'!N58</f>
        <v>1309.5</v>
      </c>
      <c r="C16" s="250">
        <f>'lokale energieproductie'!O89+'lokale energieproductie'!O58</f>
        <v>1870.7142857142858</v>
      </c>
      <c r="D16" s="312">
        <f>('lokale energieproductie'!P58+'lokale energieproductie'!P89)*(-1)</f>
        <v>-935.35714285714289</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-2806.0714285714284</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217985.83869361324</v>
      </c>
      <c r="C18" s="22">
        <f>C5+C16</f>
        <v>1870.7142857142858</v>
      </c>
      <c r="D18" s="22">
        <f>MAX((D5+D16),0)</f>
        <v>116109.19384163532</v>
      </c>
      <c r="E18" s="22">
        <f>MAX((E5+E16),0)</f>
        <v>2054.6748819634413</v>
      </c>
      <c r="F18" s="22">
        <f>MAX((F5+F16),0)</f>
        <v>32716.978399564643</v>
      </c>
      <c r="G18" s="22"/>
      <c r="H18" s="22"/>
      <c r="I18" s="22"/>
      <c r="J18" s="22">
        <f>MAX((J5+J16),0)</f>
        <v>400.97672877504692</v>
      </c>
      <c r="K18" s="22"/>
      <c r="L18" s="22">
        <f>MAX((L5+L16),0)</f>
        <v>0</v>
      </c>
      <c r="M18" s="22"/>
      <c r="N18" s="22">
        <f>MAX((N5+N16),0)</f>
        <v>1802.0664195073578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0.21510935423933564</v>
      </c>
      <c r="C20" s="26">
        <f ca="1">'EF ele_warmte'!B22</f>
        <v>0.2215194249341528</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46890.79299470313</v>
      </c>
      <c r="C22" s="24">
        <f ca="1">C18*C20</f>
        <v>414.39955278753303</v>
      </c>
      <c r="D22" s="24">
        <f>D18*D20</f>
        <v>23454.057156010338</v>
      </c>
      <c r="E22" s="24">
        <f>E18*E20</f>
        <v>466.41119820570117</v>
      </c>
      <c r="F22" s="24">
        <f>F18*F20</f>
        <v>8735.4332326837593</v>
      </c>
      <c r="G22" s="24"/>
      <c r="H22" s="24"/>
      <c r="I22" s="24"/>
      <c r="J22" s="24">
        <f>J18*J20</f>
        <v>141.94576198636659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460.66589636871299</v>
      </c>
      <c r="C30" s="40">
        <f>IF(ISERROR(B30*3.6/1000000/'E Balans VL '!Z18*100),0,B30*3.6/1000000/'E Balans VL '!Z18*100)</f>
        <v>2.5632976686499286E-2</v>
      </c>
      <c r="D30" s="240" t="s">
        <v>707</v>
      </c>
    </row>
    <row r="31" spans="1:18">
      <c r="A31" s="6" t="s">
        <v>33</v>
      </c>
      <c r="B31" s="38">
        <f>IF( ISERROR(IND_ander_ele_kWh/1000),0,IND_ander_ele_kWh/1000)</f>
        <v>2838.2057675569999</v>
      </c>
      <c r="C31" s="40">
        <f>IF(ISERROR(B31*3.6/1000000/'E Balans VL '!Z19*100),0,B31*3.6/1000000/'E Balans VL '!Z19*100)</f>
        <v>0.131940732146208</v>
      </c>
      <c r="D31" s="240" t="s">
        <v>707</v>
      </c>
    </row>
    <row r="32" spans="1:18">
      <c r="A32" s="174" t="s">
        <v>41</v>
      </c>
      <c r="B32" s="38">
        <f>IF( ISERROR(IND_voed_ele_kWh/1000),0,IND_voed_ele_kWh/1000)</f>
        <v>135179.21009922901</v>
      </c>
      <c r="C32" s="40">
        <f>IF(ISERROR(B32*3.6/1000000/'E Balans VL '!Z20*100),0,B32*3.6/1000000/'E Balans VL '!Z20*100)</f>
        <v>4.7783120710310278</v>
      </c>
      <c r="D32" s="240" t="s">
        <v>707</v>
      </c>
    </row>
    <row r="33" spans="1:5">
      <c r="A33" s="174" t="s">
        <v>40</v>
      </c>
      <c r="B33" s="38">
        <f>IF( ISERROR(IND_textiel_ele_kWh/1000),0,IND_textiel_ele_kWh/1000)</f>
        <v>192.09679601975699</v>
      </c>
      <c r="C33" s="40">
        <f>IF(ISERROR(B33*3.6/1000000/'E Balans VL '!Z21*100),0,B33*3.6/1000000/'E Balans VL '!Z21*100)</f>
        <v>2.5945587167075977E-2</v>
      </c>
      <c r="D33" s="240" t="s">
        <v>707</v>
      </c>
    </row>
    <row r="34" spans="1:5">
      <c r="A34" s="174" t="s">
        <v>37</v>
      </c>
      <c r="B34" s="38">
        <f>IF( ISERROR(IND_min_ele_kWh/1000),0,IND_min_ele_kWh/1000)</f>
        <v>219.712775933872</v>
      </c>
      <c r="C34" s="40">
        <f>IF(ISERROR(B34*3.6/1000000/'E Balans VL '!Z22*100),0,B34*3.6/1000000/'E Balans VL '!Z22*100)</f>
        <v>4.4156072271742786E-2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77786.447358504913</v>
      </c>
      <c r="C37" s="40">
        <f>IF(ISERROR(B37*3.6/1000000/'E Balans VL '!Z15*100),0,B37*3.6/1000000/'E Balans VL '!Z15*100)</f>
        <v>0.58740258551526381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7311.66411285104</v>
      </c>
      <c r="C5" s="18">
        <f>'Eigen informatie GS &amp; warmtenet'!B60</f>
        <v>0</v>
      </c>
      <c r="D5" s="31">
        <f>IF(ISERROR(SUM(LB_lb_gas_kWh,LB_rest_gas_kWh,onbekend_gas_kWh)/1000),0,SUM(LB_lb_gas_kWh,LB_rest_gas_kWh,onbekend_gas_kWh)/1000)*0.902</f>
        <v>21675.071177406939</v>
      </c>
      <c r="E5" s="18">
        <f>B17*'E Balans VL '!I25/3.6*1000000/100</f>
        <v>68.880774918713982</v>
      </c>
      <c r="F5" s="18">
        <f>B17*('E Balans VL '!L25/3.6*1000000+'E Balans VL '!N25/3.6*1000000)/100</f>
        <v>23860.386528446375</v>
      </c>
      <c r="G5" s="19"/>
      <c r="H5" s="18"/>
      <c r="I5" s="18"/>
      <c r="J5" s="18">
        <f>('E Balans VL '!D25+'E Balans VL '!E25)/3.6*1000000*landbouw!B17/100</f>
        <v>904.48841468708702</v>
      </c>
      <c r="K5" s="18"/>
      <c r="L5" s="18">
        <f>L6*(-1)</f>
        <v>0</v>
      </c>
      <c r="M5" s="18"/>
      <c r="N5" s="18">
        <f>N6*(-1)</f>
        <v>0</v>
      </c>
      <c r="O5" s="18"/>
      <c r="P5" s="18"/>
      <c r="R5" s="33"/>
    </row>
    <row r="6" spans="1:18">
      <c r="A6" s="17" t="s">
        <v>502</v>
      </c>
      <c r="B6" s="18" t="s">
        <v>211</v>
      </c>
      <c r="C6" s="18">
        <f>'lokale energieproductie'!O91+'lokale energieproductie'!O60</f>
        <v>18803.571428571428</v>
      </c>
      <c r="D6" s="312">
        <f>('lokale energieproductie'!P60+'lokale energieproductie'!P91)*(-1)</f>
        <v>-37607.142857142855</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7311.66411285104</v>
      </c>
      <c r="C8" s="22">
        <f>C5+C6</f>
        <v>18803.571428571428</v>
      </c>
      <c r="D8" s="22">
        <f>MAX((D5+D6),0)</f>
        <v>0</v>
      </c>
      <c r="E8" s="22">
        <f>MAX((E5+E6),0)</f>
        <v>68.880774918713982</v>
      </c>
      <c r="F8" s="22">
        <f>MAX((F5+F6),0)</f>
        <v>23860.386528446375</v>
      </c>
      <c r="G8" s="22"/>
      <c r="H8" s="22"/>
      <c r="I8" s="22"/>
      <c r="J8" s="22">
        <f>MAX((J5+J6),0)</f>
        <v>904.48841468708702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0.21510935423933564</v>
      </c>
      <c r="C10" s="32">
        <f ca="1">'EF ele_warmte'!B22</f>
        <v>0.2215194249341528</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1572.8073457303121</v>
      </c>
      <c r="C12" s="24">
        <f ca="1">C8*C10</f>
        <v>4165.3563295654085</v>
      </c>
      <c r="D12" s="24">
        <f>D8*D10</f>
        <v>0</v>
      </c>
      <c r="E12" s="24">
        <f>E8*E10</f>
        <v>15.635935906548074</v>
      </c>
      <c r="F12" s="24">
        <f>F8*F10</f>
        <v>6370.7232030951827</v>
      </c>
      <c r="G12" s="24"/>
      <c r="H12" s="24"/>
      <c r="I12" s="24"/>
      <c r="J12" s="24">
        <f>J8*J10</f>
        <v>320.18889879922881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0.98988248422242131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388.94641511858032</v>
      </c>
      <c r="C26" s="250">
        <f>B26*'GWP N2O_CH4'!B5</f>
        <v>8167.8747174901864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482.47271820283828</v>
      </c>
      <c r="C27" s="250">
        <f>B27*'GWP N2O_CH4'!B5</f>
        <v>10131.927082259605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6.8326631995459888</v>
      </c>
      <c r="C28" s="250">
        <f>B28*'GWP N2O_CH4'!B4</f>
        <v>2118.1255918592565</v>
      </c>
      <c r="D28" s="51"/>
    </row>
    <row r="29" spans="1:4">
      <c r="A29" s="42" t="s">
        <v>277</v>
      </c>
      <c r="B29" s="250">
        <f>B34*'ha_N2O bodem landbouw'!B4</f>
        <v>12.381994097545348</v>
      </c>
      <c r="C29" s="250">
        <f>B29*'GWP N2O_CH4'!B4</f>
        <v>3838.4181702390579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3.3427486178590625E-3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1.1245148166491459E-5</v>
      </c>
      <c r="C5" s="447" t="s">
        <v>211</v>
      </c>
      <c r="D5" s="432">
        <f>SUM(D6:D11)</f>
        <v>3.079771028664101E-5</v>
      </c>
      <c r="E5" s="432">
        <f>SUM(E6:E11)</f>
        <v>2.0093509810165527E-3</v>
      </c>
      <c r="F5" s="445" t="s">
        <v>211</v>
      </c>
      <c r="G5" s="432">
        <f>SUM(G6:G11)</f>
        <v>0.4659455138980827</v>
      </c>
      <c r="H5" s="432">
        <f>SUM(H6:H11)</f>
        <v>7.0459314834727865E-2</v>
      </c>
      <c r="I5" s="447" t="s">
        <v>211</v>
      </c>
      <c r="J5" s="447" t="s">
        <v>211</v>
      </c>
      <c r="K5" s="447" t="s">
        <v>211</v>
      </c>
      <c r="L5" s="447" t="s">
        <v>211</v>
      </c>
      <c r="M5" s="432">
        <f>SUM(M6:M11)</f>
        <v>2.3971804439126887E-2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4.0554486601102296E-6</v>
      </c>
      <c r="C6" s="433"/>
      <c r="D6" s="433">
        <f>vkm_2011_GW_PW*SUMIFS(TableVerdeelsleutelVkm[CNG],TableVerdeelsleutelVkm[Voertuigtype],"Lichte voertuigen")*SUMIFS(TableECFTransport[EnergieConsumptieFactor (PJ per km)],TableECFTransport[Index],CONCATENATE($A6,"_CNG_CNG"))</f>
        <v>9.9034735450195844E-6</v>
      </c>
      <c r="E6" s="435">
        <f>vkm_2011_GW_PW*SUMIFS(TableVerdeelsleutelVkm[LPG],TableVerdeelsleutelVkm[Voertuigtype],"Lichte voertuigen")*SUMIFS(TableECFTransport[EnergieConsumptieFactor (PJ per km)],TableECFTransport[Index],CONCATENATE($A6,"_LPG_LPG"))</f>
        <v>5.870267319738441E-4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8.4861619581919581E-2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2.2239792463252483E-2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4.7961984707305689E-3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5.7549166293930053E-2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2.3218844946195341E-5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2.5637975528072072E-3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1.4689553845733661E-6</v>
      </c>
      <c r="C8" s="433"/>
      <c r="D8" s="435">
        <f>vkm_2011_NGW_PW*SUMIFS(TableVerdeelsleutelVkm[CNG],TableVerdeelsleutelVkm[Voertuigtype],"Lichte voertuigen")*SUMIFS(TableECFTransport[EnergieConsumptieFactor (PJ per km)],TableECFTransport[Index],CONCATENATE($A8,"_CNG_CNG"))</f>
        <v>6.4360707594112824E-6</v>
      </c>
      <c r="E8" s="435">
        <f>vkm_2011_NGW_PW*SUMIFS(TableVerdeelsleutelVkm[LPG],TableVerdeelsleutelVkm[Voertuigtype],"Lichte voertuigen")*SUMIFS(TableECFTransport[EnergieConsumptieFactor (PJ per km)],TableECFTransport[Index],CONCATENATE($A8,"_LPG_LPG"))</f>
        <v>3.4998525358887384E-4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4.7795849367057414E-2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1.3840342715131826E-2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2.7614391036066112E-3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2.5582468823301924E-2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8.9869096803821659E-6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1.1396300279920362E-3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5.720744121807864E-6</v>
      </c>
      <c r="C10" s="433"/>
      <c r="D10" s="435">
        <f>vkm_2011_SW_PW*SUMIFS(TableVerdeelsleutelVkm[CNG],TableVerdeelsleutelVkm[Voertuigtype],"Lichte voertuigen")*SUMIFS(TableECFTransport[EnergieConsumptieFactor (PJ per km)],TableECFTransport[Index],CONCATENATE($A10,"_CNG_CNG"))</f>
        <v>1.445816598221014E-5</v>
      </c>
      <c r="E10" s="435">
        <f>vkm_2011_SW_PW*SUMIFS(TableVerdeelsleutelVkm[LPG],TableVerdeelsleutelVkm[Voertuigtype],"Lichte voertuigen")*SUMIFS(TableECFTransport[EnergieConsumptieFactor (PJ per km)],TableECFTransport[Index],CONCATENATE($A10,"_LPG_LPG"))</f>
        <v>1.0723389954538345E-3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0.14127466502322839</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3.4300366918999618E-2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7.8599687793905696E-3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0.10888174480864532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4.6606982717354317E-5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4.8507705045998948E-3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3.1236522684698498</v>
      </c>
      <c r="C14" s="22"/>
      <c r="D14" s="22">
        <f t="shared" ref="D14:M14" si="0">((D5)*10^9/3600)+D12</f>
        <v>8.5549195240669462</v>
      </c>
      <c r="E14" s="22">
        <f t="shared" si="0"/>
        <v>558.15305028237572</v>
      </c>
      <c r="F14" s="22"/>
      <c r="G14" s="22">
        <f t="shared" si="0"/>
        <v>129429.30941613407</v>
      </c>
      <c r="H14" s="22">
        <f t="shared" si="0"/>
        <v>19572.031898535519</v>
      </c>
      <c r="I14" s="22"/>
      <c r="J14" s="22"/>
      <c r="K14" s="22"/>
      <c r="L14" s="22"/>
      <c r="M14" s="22">
        <f t="shared" si="0"/>
        <v>6658.8345664241351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0.21510935423933564</v>
      </c>
      <c r="C16" s="57">
        <f ca="1">'EF ele_warmte'!B22</f>
        <v>0.2215194249341528</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0.67192682233878531</v>
      </c>
      <c r="C18" s="24"/>
      <c r="D18" s="24">
        <f t="shared" ref="D18:M18" si="1">D14*D16</f>
        <v>1.7280937438615231</v>
      </c>
      <c r="E18" s="24">
        <f t="shared" si="1"/>
        <v>126.7007424140993</v>
      </c>
      <c r="F18" s="24"/>
      <c r="G18" s="24">
        <f t="shared" si="1"/>
        <v>34557.625614107797</v>
      </c>
      <c r="H18" s="24">
        <f t="shared" si="1"/>
        <v>4873.4359427353438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3.710369480634444E-3</v>
      </c>
      <c r="H50" s="323">
        <f t="shared" si="2"/>
        <v>0</v>
      </c>
      <c r="I50" s="323">
        <f t="shared" si="2"/>
        <v>0</v>
      </c>
      <c r="J50" s="323">
        <f t="shared" si="2"/>
        <v>0</v>
      </c>
      <c r="K50" s="323">
        <f t="shared" si="2"/>
        <v>0</v>
      </c>
      <c r="L50" s="323">
        <f t="shared" si="2"/>
        <v>0</v>
      </c>
      <c r="M50" s="323">
        <f t="shared" si="2"/>
        <v>1.6292844453196927E-4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3.710369480634444E-3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1.6292844453196927E-4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1030.6581890651232</v>
      </c>
      <c r="H54" s="22">
        <f t="shared" si="3"/>
        <v>0</v>
      </c>
      <c r="I54" s="22">
        <f t="shared" si="3"/>
        <v>0</v>
      </c>
      <c r="J54" s="22">
        <f t="shared" si="3"/>
        <v>0</v>
      </c>
      <c r="K54" s="22">
        <f t="shared" si="3"/>
        <v>0</v>
      </c>
      <c r="L54" s="22">
        <f t="shared" si="3"/>
        <v>0</v>
      </c>
      <c r="M54" s="22">
        <f t="shared" si="3"/>
        <v>45.257901258880352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0.21510935423933564</v>
      </c>
      <c r="C56" s="57">
        <f ca="1">'EF ele_warmte'!B22</f>
        <v>0.2215194249341528</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275.1857364803879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6741.0602684166752</v>
      </c>
      <c r="C6" s="1135"/>
      <c r="D6" s="1138"/>
      <c r="E6" s="1138"/>
      <c r="F6" s="1141"/>
      <c r="G6" s="1144"/>
      <c r="H6" s="1132"/>
      <c r="I6" s="1138"/>
      <c r="J6" s="1138"/>
      <c r="K6" s="1138"/>
      <c r="L6" s="1168"/>
      <c r="M6" s="560"/>
      <c r="N6" s="1180"/>
      <c r="O6" s="1181"/>
      <c r="Q6" s="558"/>
      <c r="R6" s="1165"/>
      <c r="S6" s="1165"/>
    </row>
    <row r="7" spans="1:19" s="548" customFormat="1">
      <c r="A7" s="561" t="s">
        <v>252</v>
      </c>
      <c r="B7" s="562">
        <f>N57</f>
        <v>14472</v>
      </c>
      <c r="C7" s="563">
        <f>B100</f>
        <v>15870.441176470589</v>
      </c>
      <c r="D7" s="564"/>
      <c r="E7" s="564">
        <f>E100</f>
        <v>0</v>
      </c>
      <c r="F7" s="565"/>
      <c r="G7" s="566"/>
      <c r="H7" s="564">
        <f>I100</f>
        <v>0</v>
      </c>
      <c r="I7" s="564">
        <f>G100+F100</f>
        <v>0</v>
      </c>
      <c r="J7" s="564">
        <f>H100+D100+C100</f>
        <v>1155.4411764705883</v>
      </c>
      <c r="K7" s="564"/>
      <c r="L7" s="567"/>
      <c r="M7" s="568">
        <f>C7*$C$11+D7*$D$11+E7*$E$11+F7*$F$11+G7*$G$11+H7*$H$11+I7*$I$11+J7*$J$11</f>
        <v>3205.8291176470593</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21213.060268416673</v>
      </c>
      <c r="C9" s="579">
        <f t="shared" ref="C9:L9" si="0">SUM(C7:C8)</f>
        <v>15870.441176470589</v>
      </c>
      <c r="D9" s="579">
        <f t="shared" si="0"/>
        <v>0</v>
      </c>
      <c r="E9" s="579">
        <f t="shared" si="0"/>
        <v>0</v>
      </c>
      <c r="F9" s="579">
        <f t="shared" si="0"/>
        <v>0</v>
      </c>
      <c r="G9" s="579">
        <f t="shared" si="0"/>
        <v>0</v>
      </c>
      <c r="H9" s="579">
        <f t="shared" si="0"/>
        <v>0</v>
      </c>
      <c r="I9" s="579">
        <f t="shared" si="0"/>
        <v>0</v>
      </c>
      <c r="J9" s="579">
        <f t="shared" si="0"/>
        <v>1155.4411764705883</v>
      </c>
      <c r="K9" s="579">
        <f t="shared" si="0"/>
        <v>0</v>
      </c>
      <c r="L9" s="579">
        <f t="shared" si="0"/>
        <v>0</v>
      </c>
      <c r="M9" s="580">
        <f>SUM(M4:M8)</f>
        <v>3205.8291176470593</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20674.285714285714</v>
      </c>
      <c r="C16" s="595">
        <f>B101</f>
        <v>22672.058823529413</v>
      </c>
      <c r="D16" s="596"/>
      <c r="E16" s="596">
        <f>E101</f>
        <v>0</v>
      </c>
      <c r="F16" s="597"/>
      <c r="G16" s="598"/>
      <c r="H16" s="595">
        <f>I101</f>
        <v>0</v>
      </c>
      <c r="I16" s="596">
        <f>G101+F101</f>
        <v>0</v>
      </c>
      <c r="J16" s="596">
        <f>H101+D101+C101</f>
        <v>1650.6302521008404</v>
      </c>
      <c r="K16" s="596"/>
      <c r="L16" s="599"/>
      <c r="M16" s="600">
        <f>C16*$C$21+E16*$E$21+H16*$H$21+I16*$I$21+J16*$J$21+D16*$D$21+F16*$F$21+G16*$G$21+K16*$K$21+L16*$L$21</f>
        <v>4579.7558823529416</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20674.285714285714</v>
      </c>
      <c r="C19" s="578">
        <f>SUM(C16:C18)</f>
        <v>22672.058823529413</v>
      </c>
      <c r="D19" s="578">
        <f t="shared" ref="D19:M19" si="1">SUM(D16:D18)</f>
        <v>0</v>
      </c>
      <c r="E19" s="578">
        <f t="shared" si="1"/>
        <v>0</v>
      </c>
      <c r="F19" s="578">
        <f t="shared" si="1"/>
        <v>0</v>
      </c>
      <c r="G19" s="578">
        <f t="shared" si="1"/>
        <v>0</v>
      </c>
      <c r="H19" s="578">
        <f t="shared" si="1"/>
        <v>0</v>
      </c>
      <c r="I19" s="578">
        <f t="shared" si="1"/>
        <v>0</v>
      </c>
      <c r="J19" s="578">
        <f t="shared" si="1"/>
        <v>1650.6302521008404</v>
      </c>
      <c r="K19" s="578">
        <f t="shared" si="1"/>
        <v>0</v>
      </c>
      <c r="L19" s="578">
        <f t="shared" si="1"/>
        <v>0</v>
      </c>
      <c r="M19" s="605">
        <f t="shared" si="1"/>
        <v>4579.7558823529416</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37020</v>
      </c>
      <c r="C27" s="840">
        <v>8851</v>
      </c>
      <c r="D27" s="657" t="s">
        <v>877</v>
      </c>
      <c r="E27" s="656" t="s">
        <v>878</v>
      </c>
      <c r="F27" s="656" t="s">
        <v>879</v>
      </c>
      <c r="G27" s="656" t="s">
        <v>880</v>
      </c>
      <c r="H27" s="656" t="s">
        <v>881</v>
      </c>
      <c r="I27" s="656" t="s">
        <v>882</v>
      </c>
      <c r="J27" s="839">
        <v>38231</v>
      </c>
      <c r="K27" s="839">
        <v>38384</v>
      </c>
      <c r="L27" s="656" t="s">
        <v>883</v>
      </c>
      <c r="M27" s="656">
        <v>291</v>
      </c>
      <c r="N27" s="656">
        <v>1309.5</v>
      </c>
      <c r="O27" s="656">
        <v>1870.7142857142858</v>
      </c>
      <c r="P27" s="656">
        <v>935.35714285714289</v>
      </c>
      <c r="Q27" s="656">
        <v>2806.0714285714284</v>
      </c>
      <c r="R27" s="656">
        <v>0</v>
      </c>
      <c r="S27" s="656">
        <v>0</v>
      </c>
      <c r="T27" s="656">
        <v>0</v>
      </c>
      <c r="U27" s="656">
        <v>0</v>
      </c>
      <c r="V27" s="656">
        <v>0</v>
      </c>
      <c r="W27" s="656"/>
      <c r="X27" s="656">
        <v>500</v>
      </c>
      <c r="Y27" s="656" t="s">
        <v>41</v>
      </c>
      <c r="Z27" s="658" t="s">
        <v>391</v>
      </c>
    </row>
    <row r="28" spans="1:26" s="610" customFormat="1" ht="25.5">
      <c r="A28" s="609"/>
      <c r="B28" s="840">
        <v>37020</v>
      </c>
      <c r="C28" s="840">
        <v>8850</v>
      </c>
      <c r="D28" s="657" t="s">
        <v>884</v>
      </c>
      <c r="E28" s="656" t="s">
        <v>885</v>
      </c>
      <c r="F28" s="656" t="s">
        <v>886</v>
      </c>
      <c r="G28" s="656" t="s">
        <v>880</v>
      </c>
      <c r="H28" s="656" t="s">
        <v>881</v>
      </c>
      <c r="I28" s="656" t="s">
        <v>885</v>
      </c>
      <c r="J28" s="839">
        <v>39994</v>
      </c>
      <c r="K28" s="839">
        <v>39994</v>
      </c>
      <c r="L28" s="656" t="s">
        <v>883</v>
      </c>
      <c r="M28" s="656">
        <v>1925</v>
      </c>
      <c r="N28" s="656">
        <v>8662.5</v>
      </c>
      <c r="O28" s="656">
        <v>12375</v>
      </c>
      <c r="P28" s="656">
        <v>24750</v>
      </c>
      <c r="Q28" s="656">
        <v>0</v>
      </c>
      <c r="R28" s="656">
        <v>0</v>
      </c>
      <c r="S28" s="656">
        <v>0</v>
      </c>
      <c r="T28" s="656">
        <v>0</v>
      </c>
      <c r="U28" s="656">
        <v>0</v>
      </c>
      <c r="V28" s="656">
        <v>0</v>
      </c>
      <c r="W28" s="656"/>
      <c r="X28" s="656">
        <v>10</v>
      </c>
      <c r="Y28" s="656" t="s">
        <v>112</v>
      </c>
      <c r="Z28" s="658" t="s">
        <v>112</v>
      </c>
    </row>
    <row r="29" spans="1:26" s="610" customFormat="1" ht="25.5">
      <c r="A29" s="609"/>
      <c r="B29" s="840">
        <v>37020</v>
      </c>
      <c r="C29" s="840">
        <v>8850</v>
      </c>
      <c r="D29" s="657" t="s">
        <v>887</v>
      </c>
      <c r="E29" s="656" t="s">
        <v>888</v>
      </c>
      <c r="F29" s="656" t="s">
        <v>889</v>
      </c>
      <c r="G29" s="656" t="s">
        <v>880</v>
      </c>
      <c r="H29" s="656" t="s">
        <v>881</v>
      </c>
      <c r="I29" s="656" t="s">
        <v>890</v>
      </c>
      <c r="J29" s="839">
        <v>40909</v>
      </c>
      <c r="K29" s="839">
        <v>40953</v>
      </c>
      <c r="L29" s="656" t="s">
        <v>883</v>
      </c>
      <c r="M29" s="656">
        <v>2000</v>
      </c>
      <c r="N29" s="656">
        <v>4500</v>
      </c>
      <c r="O29" s="656">
        <v>6428.5714285714284</v>
      </c>
      <c r="P29" s="656">
        <v>12857.142857142859</v>
      </c>
      <c r="Q29" s="656">
        <v>0</v>
      </c>
      <c r="R29" s="656">
        <v>0</v>
      </c>
      <c r="S29" s="656">
        <v>0</v>
      </c>
      <c r="T29" s="656">
        <v>0</v>
      </c>
      <c r="U29" s="656">
        <v>0</v>
      </c>
      <c r="V29" s="656">
        <v>0</v>
      </c>
      <c r="W29" s="656"/>
      <c r="X29" s="656">
        <v>10</v>
      </c>
      <c r="Y29" s="656" t="s">
        <v>112</v>
      </c>
      <c r="Z29" s="658" t="s">
        <v>112</v>
      </c>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4216</v>
      </c>
      <c r="N57" s="614">
        <f>SUM(N27:N56)</f>
        <v>14472</v>
      </c>
      <c r="O57" s="614">
        <f t="shared" ref="O57:W57" si="2">SUM(O27:O56)</f>
        <v>20674.285714285714</v>
      </c>
      <c r="P57" s="614">
        <f t="shared" si="2"/>
        <v>38542.5</v>
      </c>
      <c r="Q57" s="614">
        <f t="shared" si="2"/>
        <v>2806.0714285714284</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291</v>
      </c>
      <c r="N58" s="614">
        <f t="shared" ref="N58:W58" si="3">SUMIF($Z$27:$Z$56,"industrie",N27:N56)</f>
        <v>1309.5</v>
      </c>
      <c r="O58" s="614">
        <f t="shared" si="3"/>
        <v>1870.7142857142858</v>
      </c>
      <c r="P58" s="614">
        <f t="shared" si="3"/>
        <v>935.35714285714289</v>
      </c>
      <c r="Q58" s="614">
        <f t="shared" si="3"/>
        <v>2806.0714285714284</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3925</v>
      </c>
      <c r="N60" s="619">
        <f t="shared" ref="N60:W60" si="4">SUMIF($Z$27:$Z$56,"landbouw",N27:N56)</f>
        <v>13162.5</v>
      </c>
      <c r="O60" s="619">
        <f t="shared" si="4"/>
        <v>18803.571428571428</v>
      </c>
      <c r="P60" s="619">
        <f t="shared" si="4"/>
        <v>37607.142857142855</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0.41176470588235298</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15870.441176470589</v>
      </c>
      <c r="C100" s="648">
        <f t="shared" si="9"/>
        <v>1155.4411764705883</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22672.058823529413</v>
      </c>
      <c r="C101" s="651">
        <f t="shared" ref="C101:H101" si="10">$B$97*Q57</f>
        <v>1650.6302521008404</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9975.0972819355575</v>
      </c>
      <c r="D10" s="703">
        <f ca="1">tertiair!C16</f>
        <v>0</v>
      </c>
      <c r="E10" s="703">
        <f ca="1">tertiair!D16</f>
        <v>34825.279861490184</v>
      </c>
      <c r="F10" s="703">
        <f>tertiair!E16</f>
        <v>82.12671294530486</v>
      </c>
      <c r="G10" s="703">
        <f ca="1">tertiair!F16</f>
        <v>1929.1337980453197</v>
      </c>
      <c r="H10" s="703">
        <f>tertiair!G16</f>
        <v>0</v>
      </c>
      <c r="I10" s="703">
        <f>tertiair!H16</f>
        <v>0</v>
      </c>
      <c r="J10" s="703">
        <f>tertiair!I16</f>
        <v>0</v>
      </c>
      <c r="K10" s="703">
        <f>tertiair!J16</f>
        <v>0</v>
      </c>
      <c r="L10" s="703">
        <f>tertiair!K16</f>
        <v>0</v>
      </c>
      <c r="M10" s="703">
        <f ca="1">tertiair!L16</f>
        <v>0</v>
      </c>
      <c r="N10" s="703">
        <f>tertiair!M16</f>
        <v>0</v>
      </c>
      <c r="O10" s="703">
        <f ca="1">tertiair!N16</f>
        <v>444.2242497870518</v>
      </c>
      <c r="P10" s="703">
        <f>tertiair!O16</f>
        <v>0</v>
      </c>
      <c r="Q10" s="704">
        <f>tertiair!P16</f>
        <v>0</v>
      </c>
      <c r="R10" s="706">
        <f ca="1">SUM(C10:Q10)</f>
        <v>47255.861904203419</v>
      </c>
      <c r="S10" s="68"/>
    </row>
    <row r="11" spans="1:19" s="458" customFormat="1">
      <c r="A11" s="859" t="s">
        <v>225</v>
      </c>
      <c r="B11" s="864"/>
      <c r="C11" s="703">
        <f>huishoudens!B8</f>
        <v>16353.259209046621</v>
      </c>
      <c r="D11" s="703">
        <f>huishoudens!C8</f>
        <v>0</v>
      </c>
      <c r="E11" s="703">
        <f>huishoudens!D8</f>
        <v>31940.937901091802</v>
      </c>
      <c r="F11" s="703">
        <f>huishoudens!E8</f>
        <v>5975.1821855780308</v>
      </c>
      <c r="G11" s="703">
        <f>huishoudens!F8</f>
        <v>15953.774482884688</v>
      </c>
      <c r="H11" s="703">
        <f>huishoudens!G8</f>
        <v>0</v>
      </c>
      <c r="I11" s="703">
        <f>huishoudens!H8</f>
        <v>0</v>
      </c>
      <c r="J11" s="703">
        <f>huishoudens!I8</f>
        <v>0</v>
      </c>
      <c r="K11" s="703">
        <f>huishoudens!J8</f>
        <v>2518.2501019565047</v>
      </c>
      <c r="L11" s="703">
        <f>huishoudens!K8</f>
        <v>0</v>
      </c>
      <c r="M11" s="703">
        <f>huishoudens!L8</f>
        <v>0</v>
      </c>
      <c r="N11" s="703">
        <f>huishoudens!M8</f>
        <v>0</v>
      </c>
      <c r="O11" s="703">
        <f>huishoudens!N8</f>
        <v>11642.794619495635</v>
      </c>
      <c r="P11" s="703">
        <f>huishoudens!O8</f>
        <v>76.603333333333339</v>
      </c>
      <c r="Q11" s="704">
        <f>huishoudens!P8</f>
        <v>171.6</v>
      </c>
      <c r="R11" s="706">
        <f>SUM(C11:Q11)</f>
        <v>84632.401833386626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217985.83869361324</v>
      </c>
      <c r="D13" s="703">
        <f>industrie!C18</f>
        <v>1870.7142857142858</v>
      </c>
      <c r="E13" s="703">
        <f>industrie!D18</f>
        <v>116109.19384163532</v>
      </c>
      <c r="F13" s="703">
        <f>industrie!E18</f>
        <v>2054.6748819634413</v>
      </c>
      <c r="G13" s="703">
        <f>industrie!F18</f>
        <v>32716.978399564643</v>
      </c>
      <c r="H13" s="703">
        <f>industrie!G18</f>
        <v>0</v>
      </c>
      <c r="I13" s="703">
        <f>industrie!H18</f>
        <v>0</v>
      </c>
      <c r="J13" s="703">
        <f>industrie!I18</f>
        <v>0</v>
      </c>
      <c r="K13" s="703">
        <f>industrie!J18</f>
        <v>400.97672877504692</v>
      </c>
      <c r="L13" s="703">
        <f>industrie!K18</f>
        <v>0</v>
      </c>
      <c r="M13" s="703">
        <f>industrie!L18</f>
        <v>0</v>
      </c>
      <c r="N13" s="703">
        <f>industrie!M18</f>
        <v>0</v>
      </c>
      <c r="O13" s="703">
        <f>industrie!N18</f>
        <v>1802.0664195073578</v>
      </c>
      <c r="P13" s="703">
        <f>industrie!O18</f>
        <v>0</v>
      </c>
      <c r="Q13" s="704">
        <f>industrie!P18</f>
        <v>0</v>
      </c>
      <c r="R13" s="706">
        <f>SUM(C13:Q13)</f>
        <v>372940.44325077342</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244314.19518459542</v>
      </c>
      <c r="D15" s="708">
        <f t="shared" ref="D15:Q15" ca="1" si="0">SUM(D9:D14)</f>
        <v>1870.7142857142858</v>
      </c>
      <c r="E15" s="708">
        <f t="shared" ca="1" si="0"/>
        <v>182875.41160421731</v>
      </c>
      <c r="F15" s="708">
        <f t="shared" si="0"/>
        <v>8111.9837804867766</v>
      </c>
      <c r="G15" s="708">
        <f t="shared" ca="1" si="0"/>
        <v>50599.886680494652</v>
      </c>
      <c r="H15" s="708">
        <f t="shared" si="0"/>
        <v>0</v>
      </c>
      <c r="I15" s="708">
        <f t="shared" si="0"/>
        <v>0</v>
      </c>
      <c r="J15" s="708">
        <f t="shared" si="0"/>
        <v>0</v>
      </c>
      <c r="K15" s="708">
        <f t="shared" si="0"/>
        <v>2919.2268307315517</v>
      </c>
      <c r="L15" s="708">
        <f t="shared" si="0"/>
        <v>0</v>
      </c>
      <c r="M15" s="708">
        <f t="shared" ca="1" si="0"/>
        <v>0</v>
      </c>
      <c r="N15" s="708">
        <f t="shared" si="0"/>
        <v>0</v>
      </c>
      <c r="O15" s="708">
        <f t="shared" ca="1" si="0"/>
        <v>13889.085288790044</v>
      </c>
      <c r="P15" s="708">
        <f t="shared" si="0"/>
        <v>76.603333333333339</v>
      </c>
      <c r="Q15" s="709">
        <f t="shared" si="0"/>
        <v>171.6</v>
      </c>
      <c r="R15" s="710">
        <f ca="1">SUM(R9:R14)</f>
        <v>504828.70698836347</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1030.6581890651232</v>
      </c>
      <c r="I18" s="703">
        <f>transport!H54</f>
        <v>0</v>
      </c>
      <c r="J18" s="703">
        <f>transport!I54</f>
        <v>0</v>
      </c>
      <c r="K18" s="703">
        <f>transport!J54</f>
        <v>0</v>
      </c>
      <c r="L18" s="703">
        <f>transport!K54</f>
        <v>0</v>
      </c>
      <c r="M18" s="703">
        <f>transport!L54</f>
        <v>0</v>
      </c>
      <c r="N18" s="703">
        <f>transport!M54</f>
        <v>45.257901258880352</v>
      </c>
      <c r="O18" s="703">
        <f>transport!N54</f>
        <v>0</v>
      </c>
      <c r="P18" s="703">
        <f>transport!O54</f>
        <v>0</v>
      </c>
      <c r="Q18" s="704">
        <f>transport!P54</f>
        <v>0</v>
      </c>
      <c r="R18" s="706">
        <f>SUM(C18:Q18)</f>
        <v>1075.9160903240036</v>
      </c>
      <c r="S18" s="68"/>
    </row>
    <row r="19" spans="1:19" s="458" customFormat="1" ht="15" thickBot="1">
      <c r="A19" s="859" t="s">
        <v>307</v>
      </c>
      <c r="B19" s="864"/>
      <c r="C19" s="712">
        <f>transport!B14</f>
        <v>3.1236522684698498</v>
      </c>
      <c r="D19" s="712">
        <f>transport!C14</f>
        <v>0</v>
      </c>
      <c r="E19" s="712">
        <f>transport!D14</f>
        <v>8.5549195240669462</v>
      </c>
      <c r="F19" s="712">
        <f>transport!E14</f>
        <v>558.15305028237572</v>
      </c>
      <c r="G19" s="712">
        <f>transport!F14</f>
        <v>0</v>
      </c>
      <c r="H19" s="712">
        <f>transport!G14</f>
        <v>129429.30941613407</v>
      </c>
      <c r="I19" s="712">
        <f>transport!H14</f>
        <v>19572.031898535519</v>
      </c>
      <c r="J19" s="712">
        <f>transport!I14</f>
        <v>0</v>
      </c>
      <c r="K19" s="712">
        <f>transport!J14</f>
        <v>0</v>
      </c>
      <c r="L19" s="712">
        <f>transport!K14</f>
        <v>0</v>
      </c>
      <c r="M19" s="712">
        <f>transport!L14</f>
        <v>0</v>
      </c>
      <c r="N19" s="712">
        <f>transport!M14</f>
        <v>6658.8345664241351</v>
      </c>
      <c r="O19" s="712">
        <f>transport!N14</f>
        <v>0</v>
      </c>
      <c r="P19" s="712">
        <f>transport!O14</f>
        <v>0</v>
      </c>
      <c r="Q19" s="713">
        <f>transport!P14</f>
        <v>0</v>
      </c>
      <c r="R19" s="714">
        <f>SUM(C19:Q19)</f>
        <v>156230.00750316863</v>
      </c>
      <c r="S19" s="68"/>
    </row>
    <row r="20" spans="1:19" s="458" customFormat="1" ht="15.75" thickBot="1">
      <c r="A20" s="715" t="s">
        <v>230</v>
      </c>
      <c r="B20" s="867"/>
      <c r="C20" s="862">
        <f>SUM(C17:C19)</f>
        <v>3.1236522684698498</v>
      </c>
      <c r="D20" s="716">
        <f t="shared" ref="D20:R20" si="1">SUM(D17:D19)</f>
        <v>0</v>
      </c>
      <c r="E20" s="716">
        <f t="shared" si="1"/>
        <v>8.5549195240669462</v>
      </c>
      <c r="F20" s="716">
        <f t="shared" si="1"/>
        <v>558.15305028237572</v>
      </c>
      <c r="G20" s="716">
        <f t="shared" si="1"/>
        <v>0</v>
      </c>
      <c r="H20" s="716">
        <f t="shared" si="1"/>
        <v>130459.9676051992</v>
      </c>
      <c r="I20" s="716">
        <f t="shared" si="1"/>
        <v>19572.031898535519</v>
      </c>
      <c r="J20" s="716">
        <f t="shared" si="1"/>
        <v>0</v>
      </c>
      <c r="K20" s="716">
        <f t="shared" si="1"/>
        <v>0</v>
      </c>
      <c r="L20" s="716">
        <f t="shared" si="1"/>
        <v>0</v>
      </c>
      <c r="M20" s="716">
        <f t="shared" si="1"/>
        <v>0</v>
      </c>
      <c r="N20" s="716">
        <f t="shared" si="1"/>
        <v>6704.0924676830155</v>
      </c>
      <c r="O20" s="716">
        <f t="shared" si="1"/>
        <v>0</v>
      </c>
      <c r="P20" s="716">
        <f t="shared" si="1"/>
        <v>0</v>
      </c>
      <c r="Q20" s="717">
        <f t="shared" si="1"/>
        <v>0</v>
      </c>
      <c r="R20" s="718">
        <f t="shared" si="1"/>
        <v>157305.92359349263</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7311.66411285104</v>
      </c>
      <c r="D22" s="712">
        <f>+landbouw!C8</f>
        <v>18803.571428571428</v>
      </c>
      <c r="E22" s="712">
        <f>+landbouw!D8</f>
        <v>0</v>
      </c>
      <c r="F22" s="712">
        <f>+landbouw!E8</f>
        <v>68.880774918713982</v>
      </c>
      <c r="G22" s="712">
        <f>+landbouw!F8</f>
        <v>23860.386528446375</v>
      </c>
      <c r="H22" s="712">
        <f>+landbouw!G8</f>
        <v>0</v>
      </c>
      <c r="I22" s="712">
        <f>+landbouw!H8</f>
        <v>0</v>
      </c>
      <c r="J22" s="712">
        <f>+landbouw!I8</f>
        <v>0</v>
      </c>
      <c r="K22" s="712">
        <f>+landbouw!J8</f>
        <v>904.48841468708702</v>
      </c>
      <c r="L22" s="712">
        <f>+landbouw!K8</f>
        <v>0</v>
      </c>
      <c r="M22" s="712">
        <f>+landbouw!L8</f>
        <v>0</v>
      </c>
      <c r="N22" s="712">
        <f>+landbouw!M8</f>
        <v>0</v>
      </c>
      <c r="O22" s="712">
        <f>+landbouw!N8</f>
        <v>0</v>
      </c>
      <c r="P22" s="712">
        <f>+landbouw!O8</f>
        <v>0</v>
      </c>
      <c r="Q22" s="713">
        <f>+landbouw!P8</f>
        <v>0</v>
      </c>
      <c r="R22" s="714">
        <f>SUM(C22:Q22)</f>
        <v>50948.991259474642</v>
      </c>
      <c r="S22" s="68"/>
    </row>
    <row r="23" spans="1:19" s="458" customFormat="1" ht="17.25" thickTop="1" thickBot="1">
      <c r="A23" s="719" t="s">
        <v>116</v>
      </c>
      <c r="B23" s="853"/>
      <c r="C23" s="720">
        <f ca="1">C20+C15+C22</f>
        <v>251628.98294971493</v>
      </c>
      <c r="D23" s="720">
        <f t="shared" ref="D23:Q23" ca="1" si="2">D20+D15+D22</f>
        <v>20674.285714285714</v>
      </c>
      <c r="E23" s="720">
        <f t="shared" ca="1" si="2"/>
        <v>182883.96652374137</v>
      </c>
      <c r="F23" s="720">
        <f t="shared" si="2"/>
        <v>8739.0176056878663</v>
      </c>
      <c r="G23" s="720">
        <f t="shared" ca="1" si="2"/>
        <v>74460.273208941027</v>
      </c>
      <c r="H23" s="720">
        <f t="shared" si="2"/>
        <v>130459.9676051992</v>
      </c>
      <c r="I23" s="720">
        <f t="shared" si="2"/>
        <v>19572.031898535519</v>
      </c>
      <c r="J23" s="720">
        <f t="shared" si="2"/>
        <v>0</v>
      </c>
      <c r="K23" s="720">
        <f t="shared" si="2"/>
        <v>3823.7152454186389</v>
      </c>
      <c r="L23" s="720">
        <f t="shared" si="2"/>
        <v>0</v>
      </c>
      <c r="M23" s="720">
        <f t="shared" ca="1" si="2"/>
        <v>0</v>
      </c>
      <c r="N23" s="720">
        <f t="shared" si="2"/>
        <v>6704.0924676830155</v>
      </c>
      <c r="O23" s="720">
        <f t="shared" ca="1" si="2"/>
        <v>13889.085288790044</v>
      </c>
      <c r="P23" s="720">
        <f t="shared" si="2"/>
        <v>76.603333333333339</v>
      </c>
      <c r="Q23" s="721">
        <f t="shared" si="2"/>
        <v>171.6</v>
      </c>
      <c r="R23" s="722">
        <f ca="1">R20+R15+R22</f>
        <v>713083.62184133078</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2145.7367347917098</v>
      </c>
      <c r="D36" s="703">
        <f ca="1">tertiair!C20</f>
        <v>0</v>
      </c>
      <c r="E36" s="703">
        <f ca="1">tertiair!D20</f>
        <v>7034.7065320210177</v>
      </c>
      <c r="F36" s="703">
        <f>tertiair!E20</f>
        <v>18.642763838584205</v>
      </c>
      <c r="G36" s="703">
        <f ca="1">tertiair!F20</f>
        <v>515.07872407810044</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9714.1647547294124</v>
      </c>
    </row>
    <row r="37" spans="1:18">
      <c r="A37" s="874" t="s">
        <v>225</v>
      </c>
      <c r="B37" s="881"/>
      <c r="C37" s="703">
        <f ca="1">huishoudens!B12</f>
        <v>3517.7390281664871</v>
      </c>
      <c r="D37" s="703">
        <f ca="1">huishoudens!C12</f>
        <v>0</v>
      </c>
      <c r="E37" s="703">
        <f>huishoudens!D12</f>
        <v>6452.0694560205447</v>
      </c>
      <c r="F37" s="703">
        <f>huishoudens!E12</f>
        <v>1356.3663561262131</v>
      </c>
      <c r="G37" s="703">
        <f>huishoudens!F12</f>
        <v>4259.6577869302118</v>
      </c>
      <c r="H37" s="703">
        <f>huishoudens!G12</f>
        <v>0</v>
      </c>
      <c r="I37" s="703">
        <f>huishoudens!H12</f>
        <v>0</v>
      </c>
      <c r="J37" s="703">
        <f>huishoudens!I12</f>
        <v>0</v>
      </c>
      <c r="K37" s="703">
        <f>huishoudens!J12</f>
        <v>891.46053609260264</v>
      </c>
      <c r="L37" s="703">
        <f>huishoudens!K12</f>
        <v>0</v>
      </c>
      <c r="M37" s="703">
        <f>huishoudens!L12</f>
        <v>0</v>
      </c>
      <c r="N37" s="703">
        <f>huishoudens!M12</f>
        <v>0</v>
      </c>
      <c r="O37" s="703">
        <f>huishoudens!N12</f>
        <v>0</v>
      </c>
      <c r="P37" s="703">
        <f>huishoudens!O12</f>
        <v>0</v>
      </c>
      <c r="Q37" s="813">
        <f>huishoudens!P12</f>
        <v>0</v>
      </c>
      <c r="R37" s="906">
        <f ca="1">SUM(C37:Q37)</f>
        <v>16477.29316333606</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46890.79299470313</v>
      </c>
      <c r="D39" s="703">
        <f ca="1">industrie!C22</f>
        <v>414.39955278753303</v>
      </c>
      <c r="E39" s="703">
        <f>industrie!D22</f>
        <v>23454.057156010338</v>
      </c>
      <c r="F39" s="703">
        <f>industrie!E22</f>
        <v>466.41119820570117</v>
      </c>
      <c r="G39" s="703">
        <f>industrie!F22</f>
        <v>8735.4332326837593</v>
      </c>
      <c r="H39" s="703">
        <f>industrie!G22</f>
        <v>0</v>
      </c>
      <c r="I39" s="703">
        <f>industrie!H22</f>
        <v>0</v>
      </c>
      <c r="J39" s="703">
        <f>industrie!I22</f>
        <v>0</v>
      </c>
      <c r="K39" s="703">
        <f>industrie!J22</f>
        <v>141.94576198636659</v>
      </c>
      <c r="L39" s="703">
        <f>industrie!K22</f>
        <v>0</v>
      </c>
      <c r="M39" s="703">
        <f>industrie!L22</f>
        <v>0</v>
      </c>
      <c r="N39" s="703">
        <f>industrie!M22</f>
        <v>0</v>
      </c>
      <c r="O39" s="703">
        <f>industrie!N22</f>
        <v>0</v>
      </c>
      <c r="P39" s="703">
        <f>industrie!O22</f>
        <v>0</v>
      </c>
      <c r="Q39" s="813">
        <f>industrie!P22</f>
        <v>0</v>
      </c>
      <c r="R39" s="907">
        <f ca="1">SUM(C39:Q39)</f>
        <v>80103.039896376838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52554.268757661324</v>
      </c>
      <c r="D41" s="748">
        <f t="shared" ref="D41:R41" ca="1" si="4">SUM(D35:D40)</f>
        <v>414.39955278753303</v>
      </c>
      <c r="E41" s="748">
        <f t="shared" ca="1" si="4"/>
        <v>36940.833144051896</v>
      </c>
      <c r="F41" s="748">
        <f t="shared" si="4"/>
        <v>1841.4203181704984</v>
      </c>
      <c r="G41" s="748">
        <f t="shared" ca="1" si="4"/>
        <v>13510.169743692071</v>
      </c>
      <c r="H41" s="748">
        <f t="shared" si="4"/>
        <v>0</v>
      </c>
      <c r="I41" s="748">
        <f t="shared" si="4"/>
        <v>0</v>
      </c>
      <c r="J41" s="748">
        <f t="shared" si="4"/>
        <v>0</v>
      </c>
      <c r="K41" s="748">
        <f t="shared" si="4"/>
        <v>1033.4062980789693</v>
      </c>
      <c r="L41" s="748">
        <f t="shared" si="4"/>
        <v>0</v>
      </c>
      <c r="M41" s="748">
        <f t="shared" ca="1" si="4"/>
        <v>0</v>
      </c>
      <c r="N41" s="748">
        <f t="shared" si="4"/>
        <v>0</v>
      </c>
      <c r="O41" s="748">
        <f t="shared" ca="1" si="4"/>
        <v>0</v>
      </c>
      <c r="P41" s="748">
        <f t="shared" si="4"/>
        <v>0</v>
      </c>
      <c r="Q41" s="749">
        <f t="shared" si="4"/>
        <v>0</v>
      </c>
      <c r="R41" s="750">
        <f t="shared" ca="1" si="4"/>
        <v>106294.49781444231</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275.1857364803879</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275.1857364803879</v>
      </c>
    </row>
    <row r="45" spans="1:18" ht="15" thickBot="1">
      <c r="A45" s="877" t="s">
        <v>307</v>
      </c>
      <c r="B45" s="887"/>
      <c r="C45" s="712">
        <f ca="1">transport!B18</f>
        <v>0.67192682233878531</v>
      </c>
      <c r="D45" s="712">
        <f>transport!C18</f>
        <v>0</v>
      </c>
      <c r="E45" s="712">
        <f>transport!D18</f>
        <v>1.7280937438615231</v>
      </c>
      <c r="F45" s="712">
        <f>transport!E18</f>
        <v>126.7007424140993</v>
      </c>
      <c r="G45" s="712">
        <f>transport!F18</f>
        <v>0</v>
      </c>
      <c r="H45" s="712">
        <f>transport!G18</f>
        <v>34557.625614107797</v>
      </c>
      <c r="I45" s="712">
        <f>transport!H18</f>
        <v>4873.4359427353438</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39560.162319823437</v>
      </c>
    </row>
    <row r="46" spans="1:18" ht="15.75" thickBot="1">
      <c r="A46" s="875" t="s">
        <v>230</v>
      </c>
      <c r="B46" s="888"/>
      <c r="C46" s="748">
        <f t="shared" ref="C46:R46" ca="1" si="5">SUM(C43:C45)</f>
        <v>0.67192682233878531</v>
      </c>
      <c r="D46" s="748">
        <f t="shared" ca="1" si="5"/>
        <v>0</v>
      </c>
      <c r="E46" s="748">
        <f t="shared" si="5"/>
        <v>1.7280937438615231</v>
      </c>
      <c r="F46" s="748">
        <f t="shared" si="5"/>
        <v>126.7007424140993</v>
      </c>
      <c r="G46" s="748">
        <f t="shared" si="5"/>
        <v>0</v>
      </c>
      <c r="H46" s="748">
        <f t="shared" si="5"/>
        <v>34832.811350588185</v>
      </c>
      <c r="I46" s="748">
        <f t="shared" si="5"/>
        <v>4873.4359427353438</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39835.348056303825</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1572.8073457303121</v>
      </c>
      <c r="D48" s="703">
        <f ca="1">+landbouw!C12</f>
        <v>4165.3563295654085</v>
      </c>
      <c r="E48" s="703">
        <f>+landbouw!D12</f>
        <v>0</v>
      </c>
      <c r="F48" s="703">
        <f>+landbouw!E12</f>
        <v>15.635935906548074</v>
      </c>
      <c r="G48" s="703">
        <f>+landbouw!F12</f>
        <v>6370.7232030951827</v>
      </c>
      <c r="H48" s="703">
        <f>+landbouw!G12</f>
        <v>0</v>
      </c>
      <c r="I48" s="703">
        <f>+landbouw!H12</f>
        <v>0</v>
      </c>
      <c r="J48" s="703">
        <f>+landbouw!I12</f>
        <v>0</v>
      </c>
      <c r="K48" s="703">
        <f>+landbouw!J12</f>
        <v>320.18889879922881</v>
      </c>
      <c r="L48" s="703">
        <f>+landbouw!K12</f>
        <v>0</v>
      </c>
      <c r="M48" s="703">
        <f>+landbouw!L12</f>
        <v>0</v>
      </c>
      <c r="N48" s="703">
        <f>+landbouw!M12</f>
        <v>0</v>
      </c>
      <c r="O48" s="703">
        <f>+landbouw!N12</f>
        <v>0</v>
      </c>
      <c r="P48" s="703">
        <f>+landbouw!O12</f>
        <v>0</v>
      </c>
      <c r="Q48" s="704">
        <f>+landbouw!P12</f>
        <v>0</v>
      </c>
      <c r="R48" s="746">
        <f ca="1">SUM(C48:Q48)</f>
        <v>12444.71171309668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54127.748030213974</v>
      </c>
      <c r="D53" s="758">
        <f t="shared" ref="D53:Q53" ca="1" si="6">D41+D46+D48</f>
        <v>4579.7558823529416</v>
      </c>
      <c r="E53" s="758">
        <f t="shared" ca="1" si="6"/>
        <v>36942.561237795759</v>
      </c>
      <c r="F53" s="758">
        <f t="shared" si="6"/>
        <v>1983.7569964911459</v>
      </c>
      <c r="G53" s="758">
        <f t="shared" ca="1" si="6"/>
        <v>19880.892946787255</v>
      </c>
      <c r="H53" s="758">
        <f t="shared" si="6"/>
        <v>34832.811350588185</v>
      </c>
      <c r="I53" s="758">
        <f t="shared" si="6"/>
        <v>4873.4359427353438</v>
      </c>
      <c r="J53" s="758">
        <f t="shared" si="6"/>
        <v>0</v>
      </c>
      <c r="K53" s="758">
        <f t="shared" si="6"/>
        <v>1353.5951968781981</v>
      </c>
      <c r="L53" s="758">
        <f t="shared" si="6"/>
        <v>0</v>
      </c>
      <c r="M53" s="758">
        <f t="shared" ca="1" si="6"/>
        <v>0</v>
      </c>
      <c r="N53" s="758">
        <f t="shared" si="6"/>
        <v>0</v>
      </c>
      <c r="O53" s="758">
        <f t="shared" ca="1" si="6"/>
        <v>0</v>
      </c>
      <c r="P53" s="758">
        <f>P41+P46+P48</f>
        <v>0</v>
      </c>
      <c r="Q53" s="759">
        <f t="shared" si="6"/>
        <v>0</v>
      </c>
      <c r="R53" s="760">
        <f ca="1">R41+R46+R48</f>
        <v>158574.5575838428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0.21510935423933564</v>
      </c>
      <c r="D55" s="824">
        <f t="shared" ca="1" si="7"/>
        <v>0.2215194249341528</v>
      </c>
      <c r="E55" s="824">
        <f t="shared" ca="1" si="7"/>
        <v>0.20200000000000001</v>
      </c>
      <c r="F55" s="824">
        <f t="shared" si="7"/>
        <v>0.22700000000000004</v>
      </c>
      <c r="G55" s="824">
        <f t="shared" ca="1" si="7"/>
        <v>0.26700000000000002</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6741.0602684166752</v>
      </c>
      <c r="C66" s="780">
        <f>'lokale energieproductie'!B6</f>
        <v>6741.0602684166752</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14472</v>
      </c>
      <c r="C67" s="779">
        <f>B67*IFERROR(SUM(J67:L67)/SUM(D67:M67),0)</f>
        <v>982.125</v>
      </c>
      <c r="D67" s="811">
        <f>'lokale energieproductie'!C7</f>
        <v>15870.441176470589</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1155.4411764705883</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3205.8291176470593</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21213.060268416673</v>
      </c>
      <c r="C69" s="788">
        <f>SUM(C64:C68)</f>
        <v>7723.1852684166752</v>
      </c>
      <c r="D69" s="789">
        <f t="shared" ref="D69:M69" si="8">SUM(D67:D68)</f>
        <v>15870.441176470589</v>
      </c>
      <c r="E69" s="789">
        <f t="shared" si="8"/>
        <v>0</v>
      </c>
      <c r="F69" s="789">
        <f t="shared" si="8"/>
        <v>0</v>
      </c>
      <c r="G69" s="789">
        <f t="shared" si="8"/>
        <v>0</v>
      </c>
      <c r="H69" s="789">
        <f t="shared" si="8"/>
        <v>0</v>
      </c>
      <c r="I69" s="789">
        <f t="shared" si="8"/>
        <v>0</v>
      </c>
      <c r="J69" s="789">
        <f t="shared" si="8"/>
        <v>0</v>
      </c>
      <c r="K69" s="789">
        <f t="shared" si="8"/>
        <v>1155.4411764705883</v>
      </c>
      <c r="L69" s="789">
        <f t="shared" si="8"/>
        <v>0</v>
      </c>
      <c r="M69" s="919">
        <f t="shared" si="8"/>
        <v>0</v>
      </c>
      <c r="N69" s="790">
        <v>0</v>
      </c>
      <c r="O69" s="790">
        <f>SUM(O67:O68)</f>
        <v>3205.8291176470593</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20674.285714285714</v>
      </c>
      <c r="C78" s="802">
        <f>B78*IFERROR(SUM(I78:L78)/SUM(D78:M78),0)</f>
        <v>1403.0357142857142</v>
      </c>
      <c r="D78" s="817">
        <f>'lokale energieproductie'!C16</f>
        <v>22672.058823529413</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1650.6302521008404</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4579.7558823529416</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20674.285714285714</v>
      </c>
      <c r="C81" s="788">
        <f>SUM(C78:C80)</f>
        <v>1403.0357142857142</v>
      </c>
      <c r="D81" s="788">
        <f t="shared" ref="D81:P81" si="9">SUM(D78:D80)</f>
        <v>22672.058823529413</v>
      </c>
      <c r="E81" s="788">
        <f t="shared" si="9"/>
        <v>0</v>
      </c>
      <c r="F81" s="788">
        <f t="shared" si="9"/>
        <v>0</v>
      </c>
      <c r="G81" s="788">
        <f t="shared" si="9"/>
        <v>0</v>
      </c>
      <c r="H81" s="788">
        <f t="shared" si="9"/>
        <v>0</v>
      </c>
      <c r="I81" s="788">
        <f t="shared" si="9"/>
        <v>0</v>
      </c>
      <c r="J81" s="788">
        <f t="shared" si="9"/>
        <v>0</v>
      </c>
      <c r="K81" s="788">
        <f t="shared" si="9"/>
        <v>1650.6302521008404</v>
      </c>
      <c r="L81" s="788">
        <f t="shared" si="9"/>
        <v>0</v>
      </c>
      <c r="M81" s="788">
        <f t="shared" si="9"/>
        <v>0</v>
      </c>
      <c r="N81" s="788">
        <v>0</v>
      </c>
      <c r="O81" s="788">
        <f>SUM(O78:O80)</f>
        <v>4579.7558823529416</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16353.259209046621</v>
      </c>
      <c r="C4" s="462">
        <f>huishoudens!C8</f>
        <v>0</v>
      </c>
      <c r="D4" s="462">
        <f>huishoudens!D8</f>
        <v>31940.937901091802</v>
      </c>
      <c r="E4" s="462">
        <f>huishoudens!E8</f>
        <v>5975.1821855780308</v>
      </c>
      <c r="F4" s="462">
        <f>huishoudens!F8</f>
        <v>15953.774482884688</v>
      </c>
      <c r="G4" s="462">
        <f>huishoudens!G8</f>
        <v>0</v>
      </c>
      <c r="H4" s="462">
        <f>huishoudens!H8</f>
        <v>0</v>
      </c>
      <c r="I4" s="462">
        <f>huishoudens!I8</f>
        <v>0</v>
      </c>
      <c r="J4" s="462">
        <f>huishoudens!J8</f>
        <v>2518.2501019565047</v>
      </c>
      <c r="K4" s="462">
        <f>huishoudens!K8</f>
        <v>0</v>
      </c>
      <c r="L4" s="462">
        <f>huishoudens!L8</f>
        <v>0</v>
      </c>
      <c r="M4" s="462">
        <f>huishoudens!M8</f>
        <v>0</v>
      </c>
      <c r="N4" s="462">
        <f>huishoudens!N8</f>
        <v>11642.794619495635</v>
      </c>
      <c r="O4" s="462">
        <f>huishoudens!O8</f>
        <v>76.603333333333339</v>
      </c>
      <c r="P4" s="463">
        <f>huishoudens!P8</f>
        <v>171.6</v>
      </c>
      <c r="Q4" s="464">
        <f>SUM(B4:P4)</f>
        <v>84632.401833386626</v>
      </c>
    </row>
    <row r="5" spans="1:17">
      <c r="A5" s="461" t="s">
        <v>156</v>
      </c>
      <c r="B5" s="462">
        <f ca="1">tertiair!B16</f>
        <v>9349.0492819355568</v>
      </c>
      <c r="C5" s="462">
        <f ca="1">tertiair!C16</f>
        <v>0</v>
      </c>
      <c r="D5" s="462">
        <f ca="1">tertiair!D16</f>
        <v>34825.279861490184</v>
      </c>
      <c r="E5" s="462">
        <f>tertiair!E16</f>
        <v>82.12671294530486</v>
      </c>
      <c r="F5" s="462">
        <f ca="1">tertiair!F16</f>
        <v>1929.1337980453197</v>
      </c>
      <c r="G5" s="462">
        <f>tertiair!G16</f>
        <v>0</v>
      </c>
      <c r="H5" s="462">
        <f>tertiair!H16</f>
        <v>0</v>
      </c>
      <c r="I5" s="462">
        <f>tertiair!I16</f>
        <v>0</v>
      </c>
      <c r="J5" s="462">
        <f>tertiair!J16</f>
        <v>0</v>
      </c>
      <c r="K5" s="462">
        <f>tertiair!K16</f>
        <v>0</v>
      </c>
      <c r="L5" s="462">
        <f ca="1">tertiair!L16</f>
        <v>0</v>
      </c>
      <c r="M5" s="462">
        <f>tertiair!M16</f>
        <v>0</v>
      </c>
      <c r="N5" s="462">
        <f ca="1">tertiair!N16</f>
        <v>444.2242497870518</v>
      </c>
      <c r="O5" s="462">
        <f>tertiair!O16</f>
        <v>0</v>
      </c>
      <c r="P5" s="463">
        <f>tertiair!P16</f>
        <v>0</v>
      </c>
      <c r="Q5" s="461">
        <f t="shared" ref="Q5:Q13" ca="1" si="0">SUM(B5:P5)</f>
        <v>46629.813904203416</v>
      </c>
    </row>
    <row r="6" spans="1:17">
      <c r="A6" s="461" t="s">
        <v>194</v>
      </c>
      <c r="B6" s="462">
        <f>'openbare verlichting'!B8</f>
        <v>626.048</v>
      </c>
      <c r="C6" s="462"/>
      <c r="D6" s="462"/>
      <c r="E6" s="462"/>
      <c r="F6" s="462"/>
      <c r="G6" s="462"/>
      <c r="H6" s="462"/>
      <c r="I6" s="462"/>
      <c r="J6" s="462"/>
      <c r="K6" s="462"/>
      <c r="L6" s="462"/>
      <c r="M6" s="462"/>
      <c r="N6" s="462"/>
      <c r="O6" s="462"/>
      <c r="P6" s="463"/>
      <c r="Q6" s="461">
        <f t="shared" si="0"/>
        <v>626.048</v>
      </c>
    </row>
    <row r="7" spans="1:17">
      <c r="A7" s="461" t="s">
        <v>112</v>
      </c>
      <c r="B7" s="462">
        <f>landbouw!B8</f>
        <v>7311.66411285104</v>
      </c>
      <c r="C7" s="462">
        <f>landbouw!C8</f>
        <v>18803.571428571428</v>
      </c>
      <c r="D7" s="462">
        <f>landbouw!D8</f>
        <v>0</v>
      </c>
      <c r="E7" s="462">
        <f>landbouw!E8</f>
        <v>68.880774918713982</v>
      </c>
      <c r="F7" s="462">
        <f>landbouw!F8</f>
        <v>23860.386528446375</v>
      </c>
      <c r="G7" s="462">
        <f>landbouw!G8</f>
        <v>0</v>
      </c>
      <c r="H7" s="462">
        <f>landbouw!H8</f>
        <v>0</v>
      </c>
      <c r="I7" s="462">
        <f>landbouw!I8</f>
        <v>0</v>
      </c>
      <c r="J7" s="462">
        <f>landbouw!J8</f>
        <v>904.48841468708702</v>
      </c>
      <c r="K7" s="462">
        <f>landbouw!K8</f>
        <v>0</v>
      </c>
      <c r="L7" s="462">
        <f>landbouw!L8</f>
        <v>0</v>
      </c>
      <c r="M7" s="462">
        <f>landbouw!M8</f>
        <v>0</v>
      </c>
      <c r="N7" s="462">
        <f>landbouw!N8</f>
        <v>0</v>
      </c>
      <c r="O7" s="462">
        <f>landbouw!O8</f>
        <v>0</v>
      </c>
      <c r="P7" s="463">
        <f>landbouw!P8</f>
        <v>0</v>
      </c>
      <c r="Q7" s="461">
        <f t="shared" si="0"/>
        <v>50948.991259474642</v>
      </c>
    </row>
    <row r="8" spans="1:17">
      <c r="A8" s="461" t="s">
        <v>685</v>
      </c>
      <c r="B8" s="462">
        <f>industrie!B18</f>
        <v>217985.83869361324</v>
      </c>
      <c r="C8" s="462">
        <f>industrie!C18</f>
        <v>1870.7142857142858</v>
      </c>
      <c r="D8" s="462">
        <f>industrie!D18</f>
        <v>116109.19384163532</v>
      </c>
      <c r="E8" s="462">
        <f>industrie!E18</f>
        <v>2054.6748819634413</v>
      </c>
      <c r="F8" s="462">
        <f>industrie!F18</f>
        <v>32716.978399564643</v>
      </c>
      <c r="G8" s="462">
        <f>industrie!G18</f>
        <v>0</v>
      </c>
      <c r="H8" s="462">
        <f>industrie!H18</f>
        <v>0</v>
      </c>
      <c r="I8" s="462">
        <f>industrie!I18</f>
        <v>0</v>
      </c>
      <c r="J8" s="462">
        <f>industrie!J18</f>
        <v>400.97672877504692</v>
      </c>
      <c r="K8" s="462">
        <f>industrie!K18</f>
        <v>0</v>
      </c>
      <c r="L8" s="462">
        <f>industrie!L18</f>
        <v>0</v>
      </c>
      <c r="M8" s="462">
        <f>industrie!M18</f>
        <v>0</v>
      </c>
      <c r="N8" s="462">
        <f>industrie!N18</f>
        <v>1802.0664195073578</v>
      </c>
      <c r="O8" s="462">
        <f>industrie!O18</f>
        <v>0</v>
      </c>
      <c r="P8" s="463">
        <f>industrie!P18</f>
        <v>0</v>
      </c>
      <c r="Q8" s="461">
        <f t="shared" si="0"/>
        <v>372940.44325077342</v>
      </c>
    </row>
    <row r="9" spans="1:17" s="467" customFormat="1">
      <c r="A9" s="465" t="s">
        <v>579</v>
      </c>
      <c r="B9" s="466">
        <f>transport!B14</f>
        <v>3.1236522684698498</v>
      </c>
      <c r="C9" s="466">
        <f>transport!C14</f>
        <v>0</v>
      </c>
      <c r="D9" s="466">
        <f>transport!D14</f>
        <v>8.5549195240669462</v>
      </c>
      <c r="E9" s="466">
        <f>transport!E14</f>
        <v>558.15305028237572</v>
      </c>
      <c r="F9" s="466">
        <f>transport!F14</f>
        <v>0</v>
      </c>
      <c r="G9" s="466">
        <f>transport!G14</f>
        <v>129429.30941613407</v>
      </c>
      <c r="H9" s="466">
        <f>transport!H14</f>
        <v>19572.031898535519</v>
      </c>
      <c r="I9" s="466">
        <f>transport!I14</f>
        <v>0</v>
      </c>
      <c r="J9" s="466">
        <f>transport!J14</f>
        <v>0</v>
      </c>
      <c r="K9" s="466">
        <f>transport!K14</f>
        <v>0</v>
      </c>
      <c r="L9" s="466">
        <f>transport!L14</f>
        <v>0</v>
      </c>
      <c r="M9" s="466">
        <f>transport!M14</f>
        <v>6658.8345664241351</v>
      </c>
      <c r="N9" s="466">
        <f>transport!N14</f>
        <v>0</v>
      </c>
      <c r="O9" s="466">
        <f>transport!O14</f>
        <v>0</v>
      </c>
      <c r="P9" s="466">
        <f>transport!P14</f>
        <v>0</v>
      </c>
      <c r="Q9" s="465">
        <f>SUM(B9:P9)</f>
        <v>156230.00750316863</v>
      </c>
    </row>
    <row r="10" spans="1:17">
      <c r="A10" s="461" t="s">
        <v>569</v>
      </c>
      <c r="B10" s="462">
        <f>transport!B54</f>
        <v>0</v>
      </c>
      <c r="C10" s="462">
        <f>transport!C54</f>
        <v>0</v>
      </c>
      <c r="D10" s="462">
        <f>transport!D54</f>
        <v>0</v>
      </c>
      <c r="E10" s="462">
        <f>transport!E54</f>
        <v>0</v>
      </c>
      <c r="F10" s="462">
        <f>transport!F54</f>
        <v>0</v>
      </c>
      <c r="G10" s="462">
        <f>transport!G54</f>
        <v>1030.6581890651232</v>
      </c>
      <c r="H10" s="462">
        <f>transport!H54</f>
        <v>0</v>
      </c>
      <c r="I10" s="462">
        <f>transport!I54</f>
        <v>0</v>
      </c>
      <c r="J10" s="462">
        <f>transport!J54</f>
        <v>0</v>
      </c>
      <c r="K10" s="462">
        <f>transport!K54</f>
        <v>0</v>
      </c>
      <c r="L10" s="462">
        <f>transport!L54</f>
        <v>0</v>
      </c>
      <c r="M10" s="462">
        <f>transport!M54</f>
        <v>45.257901258880352</v>
      </c>
      <c r="N10" s="462">
        <f>transport!N54</f>
        <v>0</v>
      </c>
      <c r="O10" s="462">
        <f>transport!O54</f>
        <v>0</v>
      </c>
      <c r="P10" s="463">
        <f>transport!P54</f>
        <v>0</v>
      </c>
      <c r="Q10" s="461">
        <f t="shared" si="0"/>
        <v>1075.9160903240036</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251628.98294971493</v>
      </c>
      <c r="C14" s="472">
        <f t="shared" ref="C14:Q14" ca="1" si="1">SUM(C4:C13)</f>
        <v>20674.285714285714</v>
      </c>
      <c r="D14" s="472">
        <f t="shared" ca="1" si="1"/>
        <v>182883.96652374137</v>
      </c>
      <c r="E14" s="472">
        <f t="shared" si="1"/>
        <v>8739.0176056878663</v>
      </c>
      <c r="F14" s="472">
        <f t="shared" ca="1" si="1"/>
        <v>74460.273208941027</v>
      </c>
      <c r="G14" s="472">
        <f t="shared" si="1"/>
        <v>130459.9676051992</v>
      </c>
      <c r="H14" s="472">
        <f t="shared" si="1"/>
        <v>19572.031898535519</v>
      </c>
      <c r="I14" s="472">
        <f t="shared" si="1"/>
        <v>0</v>
      </c>
      <c r="J14" s="472">
        <f t="shared" si="1"/>
        <v>3823.7152454186385</v>
      </c>
      <c r="K14" s="472">
        <f t="shared" si="1"/>
        <v>0</v>
      </c>
      <c r="L14" s="472">
        <f t="shared" ca="1" si="1"/>
        <v>0</v>
      </c>
      <c r="M14" s="472">
        <f t="shared" si="1"/>
        <v>6704.0924676830155</v>
      </c>
      <c r="N14" s="472">
        <f t="shared" ca="1" si="1"/>
        <v>13889.085288790044</v>
      </c>
      <c r="O14" s="472">
        <f t="shared" si="1"/>
        <v>76.603333333333339</v>
      </c>
      <c r="P14" s="473">
        <f t="shared" si="1"/>
        <v>171.6</v>
      </c>
      <c r="Q14" s="473">
        <f t="shared" ca="1" si="1"/>
        <v>713083.62184133078</v>
      </c>
    </row>
    <row r="16" spans="1:17">
      <c r="A16" s="475" t="s">
        <v>574</v>
      </c>
      <c r="B16" s="829">
        <f ca="1">huishoudens!B10</f>
        <v>0.21510935423933564</v>
      </c>
      <c r="C16" s="829">
        <f ca="1">huishoudens!C10</f>
        <v>0.2215194249341528</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3517.7390281664871</v>
      </c>
      <c r="C21" s="462">
        <f t="shared" ref="C21:C30" ca="1" si="3">C4*$C$16</f>
        <v>0</v>
      </c>
      <c r="D21" s="462">
        <f t="shared" ref="D21:D30" si="4">D4*$D$16</f>
        <v>6452.0694560205447</v>
      </c>
      <c r="E21" s="462">
        <f t="shared" ref="E21:E30" si="5">E4*$E$16</f>
        <v>1356.3663561262131</v>
      </c>
      <c r="F21" s="462">
        <f t="shared" ref="F21:F30" si="6">F4*$F$16</f>
        <v>4259.6577869302118</v>
      </c>
      <c r="G21" s="462">
        <f t="shared" ref="G21:G30" si="7">G4*$G$16</f>
        <v>0</v>
      </c>
      <c r="H21" s="462">
        <f t="shared" ref="H21:H30" si="8">H4*$H$16</f>
        <v>0</v>
      </c>
      <c r="I21" s="462">
        <f t="shared" ref="I21:I30" si="9">I4*$I$16</f>
        <v>0</v>
      </c>
      <c r="J21" s="462">
        <f t="shared" ref="J21:J30" si="10">J4*$J$16</f>
        <v>891.46053609260264</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16477.29316333606</v>
      </c>
    </row>
    <row r="22" spans="1:17">
      <c r="A22" s="461" t="s">
        <v>156</v>
      </c>
      <c r="B22" s="462">
        <f t="shared" ca="1" si="2"/>
        <v>2011.0679537888821</v>
      </c>
      <c r="C22" s="462">
        <f t="shared" ca="1" si="3"/>
        <v>0</v>
      </c>
      <c r="D22" s="462">
        <f t="shared" ca="1" si="4"/>
        <v>7034.7065320210177</v>
      </c>
      <c r="E22" s="462">
        <f t="shared" si="5"/>
        <v>18.642763838584205</v>
      </c>
      <c r="F22" s="462">
        <f t="shared" ca="1" si="6"/>
        <v>515.07872407810044</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9579.4959737265854</v>
      </c>
    </row>
    <row r="23" spans="1:17">
      <c r="A23" s="461" t="s">
        <v>194</v>
      </c>
      <c r="B23" s="462">
        <f t="shared" ca="1" si="2"/>
        <v>134.66878100282759</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134.66878100282759</v>
      </c>
    </row>
    <row r="24" spans="1:17">
      <c r="A24" s="461" t="s">
        <v>112</v>
      </c>
      <c r="B24" s="462">
        <f t="shared" ca="1" si="2"/>
        <v>1572.8073457303121</v>
      </c>
      <c r="C24" s="462">
        <f t="shared" ca="1" si="3"/>
        <v>4165.3563295654085</v>
      </c>
      <c r="D24" s="462">
        <f t="shared" si="4"/>
        <v>0</v>
      </c>
      <c r="E24" s="462">
        <f t="shared" si="5"/>
        <v>15.635935906548074</v>
      </c>
      <c r="F24" s="462">
        <f t="shared" si="6"/>
        <v>6370.7232030951827</v>
      </c>
      <c r="G24" s="462">
        <f t="shared" si="7"/>
        <v>0</v>
      </c>
      <c r="H24" s="462">
        <f t="shared" si="8"/>
        <v>0</v>
      </c>
      <c r="I24" s="462">
        <f t="shared" si="9"/>
        <v>0</v>
      </c>
      <c r="J24" s="462">
        <f t="shared" si="10"/>
        <v>320.18889879922881</v>
      </c>
      <c r="K24" s="462">
        <f t="shared" si="11"/>
        <v>0</v>
      </c>
      <c r="L24" s="462">
        <f t="shared" si="12"/>
        <v>0</v>
      </c>
      <c r="M24" s="462">
        <f t="shared" si="13"/>
        <v>0</v>
      </c>
      <c r="N24" s="462">
        <f t="shared" si="14"/>
        <v>0</v>
      </c>
      <c r="O24" s="462">
        <f t="shared" si="15"/>
        <v>0</v>
      </c>
      <c r="P24" s="463">
        <f t="shared" si="16"/>
        <v>0</v>
      </c>
      <c r="Q24" s="461">
        <f t="shared" ca="1" si="17"/>
        <v>12444.71171309668</v>
      </c>
    </row>
    <row r="25" spans="1:17">
      <c r="A25" s="461" t="s">
        <v>685</v>
      </c>
      <c r="B25" s="462">
        <f t="shared" ca="1" si="2"/>
        <v>46890.79299470313</v>
      </c>
      <c r="C25" s="462">
        <f t="shared" ca="1" si="3"/>
        <v>414.39955278753303</v>
      </c>
      <c r="D25" s="462">
        <f t="shared" si="4"/>
        <v>23454.057156010338</v>
      </c>
      <c r="E25" s="462">
        <f t="shared" si="5"/>
        <v>466.41119820570117</v>
      </c>
      <c r="F25" s="462">
        <f t="shared" si="6"/>
        <v>8735.4332326837593</v>
      </c>
      <c r="G25" s="462">
        <f t="shared" si="7"/>
        <v>0</v>
      </c>
      <c r="H25" s="462">
        <f t="shared" si="8"/>
        <v>0</v>
      </c>
      <c r="I25" s="462">
        <f t="shared" si="9"/>
        <v>0</v>
      </c>
      <c r="J25" s="462">
        <f t="shared" si="10"/>
        <v>141.94576198636659</v>
      </c>
      <c r="K25" s="462">
        <f t="shared" si="11"/>
        <v>0</v>
      </c>
      <c r="L25" s="462">
        <f t="shared" si="12"/>
        <v>0</v>
      </c>
      <c r="M25" s="462">
        <f t="shared" si="13"/>
        <v>0</v>
      </c>
      <c r="N25" s="462">
        <f t="shared" si="14"/>
        <v>0</v>
      </c>
      <c r="O25" s="462">
        <f t="shared" si="15"/>
        <v>0</v>
      </c>
      <c r="P25" s="463">
        <f t="shared" si="16"/>
        <v>0</v>
      </c>
      <c r="Q25" s="461">
        <f t="shared" ca="1" si="17"/>
        <v>80103.039896376838</v>
      </c>
    </row>
    <row r="26" spans="1:17" s="467" customFormat="1">
      <c r="A26" s="465" t="s">
        <v>579</v>
      </c>
      <c r="B26" s="823">
        <f t="shared" ca="1" si="2"/>
        <v>0.67192682233878531</v>
      </c>
      <c r="C26" s="466">
        <f t="shared" ca="1" si="3"/>
        <v>0</v>
      </c>
      <c r="D26" s="466">
        <f t="shared" si="4"/>
        <v>1.7280937438615231</v>
      </c>
      <c r="E26" s="466">
        <f t="shared" si="5"/>
        <v>126.7007424140993</v>
      </c>
      <c r="F26" s="466">
        <f t="shared" si="6"/>
        <v>0</v>
      </c>
      <c r="G26" s="466">
        <f t="shared" si="7"/>
        <v>34557.625614107797</v>
      </c>
      <c r="H26" s="466">
        <f t="shared" si="8"/>
        <v>4873.4359427353438</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39560.162319823437</v>
      </c>
    </row>
    <row r="27" spans="1:17">
      <c r="A27" s="461" t="s">
        <v>569</v>
      </c>
      <c r="B27" s="462">
        <f t="shared" ca="1" si="2"/>
        <v>0</v>
      </c>
      <c r="C27" s="462">
        <f t="shared" ca="1" si="3"/>
        <v>0</v>
      </c>
      <c r="D27" s="462">
        <f t="shared" si="4"/>
        <v>0</v>
      </c>
      <c r="E27" s="462">
        <f t="shared" si="5"/>
        <v>0</v>
      </c>
      <c r="F27" s="462">
        <f t="shared" si="6"/>
        <v>0</v>
      </c>
      <c r="G27" s="462">
        <f t="shared" si="7"/>
        <v>275.1857364803879</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275.1857364803879</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54127.748030213974</v>
      </c>
      <c r="C31" s="472">
        <f t="shared" ca="1" si="18"/>
        <v>4579.7558823529416</v>
      </c>
      <c r="D31" s="472">
        <f t="shared" ca="1" si="18"/>
        <v>36942.561237795759</v>
      </c>
      <c r="E31" s="472">
        <f t="shared" si="18"/>
        <v>1983.7569964911459</v>
      </c>
      <c r="F31" s="472">
        <f t="shared" ca="1" si="18"/>
        <v>19880.892946787251</v>
      </c>
      <c r="G31" s="472">
        <f t="shared" si="18"/>
        <v>34832.811350588185</v>
      </c>
      <c r="H31" s="472">
        <f t="shared" si="18"/>
        <v>4873.4359427353438</v>
      </c>
      <c r="I31" s="472">
        <f t="shared" si="18"/>
        <v>0</v>
      </c>
      <c r="J31" s="472">
        <f t="shared" si="18"/>
        <v>1353.5951968781978</v>
      </c>
      <c r="K31" s="472">
        <f t="shared" si="18"/>
        <v>0</v>
      </c>
      <c r="L31" s="472">
        <f t="shared" ca="1" si="18"/>
        <v>0</v>
      </c>
      <c r="M31" s="472">
        <f t="shared" si="18"/>
        <v>0</v>
      </c>
      <c r="N31" s="472">
        <f t="shared" ca="1" si="18"/>
        <v>0</v>
      </c>
      <c r="O31" s="472">
        <f t="shared" si="18"/>
        <v>0</v>
      </c>
      <c r="P31" s="473">
        <f t="shared" si="18"/>
        <v>0</v>
      </c>
      <c r="Q31" s="473">
        <f t="shared" ca="1" si="18"/>
        <v>158574.55758384283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0.21510935423933564</v>
      </c>
      <c r="C17" s="512">
        <f ca="1">'EF ele_warmte'!B22</f>
        <v>0.2215194249341528</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0.21510935423933564</v>
      </c>
      <c r="C17" s="512">
        <f ca="1">'EF ele_warmte'!B22</f>
        <v>0.2215194249341528</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0.21510935423933564</v>
      </c>
      <c r="C29" s="513">
        <f ca="1">'EF ele_warmte'!B22</f>
        <v>0.2215194249341528</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2018-06-27T09:19:25Z</dcterms:modified>
</cp:coreProperties>
</file>