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I8" s="1"/>
  <c r="J68" i="14" s="1"/>
  <c r="T88" i="18"/>
  <c r="S88"/>
  <c r="R8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C16" i="16" s="1"/>
  <c r="N58" i="18"/>
  <c r="B16" i="16" s="1"/>
  <c r="M58" i="1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G19" s="1"/>
  <c r="F17"/>
  <c r="G79" i="14" s="1"/>
  <c r="E17" i="18"/>
  <c r="D17"/>
  <c r="C17"/>
  <c r="B17"/>
  <c r="B16"/>
  <c r="B78" i="14" s="1"/>
  <c r="K11" i="18"/>
  <c r="J11"/>
  <c r="I11"/>
  <c r="H11"/>
  <c r="G11"/>
  <c r="F11"/>
  <c r="E11"/>
  <c r="D11"/>
  <c r="C11"/>
  <c r="L8"/>
  <c r="L9" s="1"/>
  <c r="K8"/>
  <c r="K9" s="1"/>
  <c r="G8"/>
  <c r="G9" s="1"/>
  <c r="F8"/>
  <c r="F9" s="1"/>
  <c r="E8"/>
  <c r="D8"/>
  <c r="D9" s="1"/>
  <c r="C8"/>
  <c r="D68" i="14" s="1"/>
  <c r="B7"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M11"/>
  <c r="K11"/>
  <c r="J11"/>
  <c r="H11"/>
  <c r="G11"/>
  <c r="F11"/>
  <c r="P9"/>
  <c r="O9"/>
  <c r="N9"/>
  <c r="L9"/>
  <c r="K9"/>
  <c r="J9"/>
  <c r="I9"/>
  <c r="F9"/>
  <c r="C9"/>
  <c r="M8"/>
  <c r="K8"/>
  <c r="I8"/>
  <c r="H8"/>
  <c r="G8"/>
  <c r="P7"/>
  <c r="O7"/>
  <c r="M7"/>
  <c r="K7"/>
  <c r="I7"/>
  <c r="H7"/>
  <c r="G7"/>
  <c r="M4"/>
  <c r="L4"/>
  <c r="K4"/>
  <c r="I4"/>
  <c r="H4"/>
  <c r="G4"/>
  <c r="G80" i="14"/>
  <c r="M79"/>
  <c r="K79"/>
  <c r="I79"/>
  <c r="E79"/>
  <c r="B79"/>
  <c r="M78"/>
  <c r="L78"/>
  <c r="H78"/>
  <c r="G78"/>
  <c r="E78"/>
  <c r="H68"/>
  <c r="F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L68" i="14" l="1"/>
  <c r="N16" i="16"/>
  <c r="E8"/>
  <c r="J15"/>
  <c r="K19" i="18"/>
  <c r="B97"/>
  <c r="F101" s="1"/>
  <c r="F16" i="16"/>
  <c r="C18"/>
  <c r="C8" i="48" s="1"/>
  <c r="C13" i="15"/>
  <c r="C16" s="1"/>
  <c r="D10" i="14" s="1"/>
  <c r="D12" i="22"/>
  <c r="E17" i="14"/>
  <c r="D13" i="48"/>
  <c r="D30" s="1"/>
  <c r="D31" i="20"/>
  <c r="E43" i="14" s="1"/>
  <c r="E12" i="22"/>
  <c r="F17" i="14"/>
  <c r="E13" i="48"/>
  <c r="I101" i="18"/>
  <c r="H16" s="1"/>
  <c r="I78" i="14" s="1"/>
  <c r="E101" i="18"/>
  <c r="E16" s="1"/>
  <c r="F78" i="14" s="1"/>
  <c r="H101" i="18"/>
  <c r="D101"/>
  <c r="G101"/>
  <c r="C101"/>
  <c r="B101"/>
  <c r="C16" s="1"/>
  <c r="D78" i="14" s="1"/>
  <c r="I11" i="48"/>
  <c r="N19" i="19"/>
  <c r="O35" i="14" s="1"/>
  <c r="B8" i="9"/>
  <c r="B6" i="48" s="1"/>
  <c r="Q6" s="1"/>
  <c r="P22" i="16"/>
  <c r="Q39" i="14" s="1"/>
  <c r="P18" i="16"/>
  <c r="F8" i="17"/>
  <c r="G22" i="14" s="1"/>
  <c r="J8" i="17"/>
  <c r="J12" s="1"/>
  <c r="K48" i="14" s="1"/>
  <c r="O80"/>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J27"/>
  <c r="I28"/>
  <c r="D29"/>
  <c r="H29"/>
  <c r="P29"/>
  <c r="K30"/>
  <c r="O30"/>
  <c r="C22" i="13"/>
  <c r="C21"/>
  <c r="C20"/>
  <c r="D23" i="48"/>
  <c r="H23"/>
  <c r="P23"/>
  <c r="H25"/>
  <c r="P26"/>
  <c r="F28"/>
  <c r="J28"/>
  <c r="N28"/>
  <c r="P30"/>
  <c r="E23"/>
  <c r="I23"/>
  <c r="O24"/>
  <c r="I25"/>
  <c r="P11" i="14"/>
  <c r="O12" i="13"/>
  <c r="P37" i="14" s="1"/>
  <c r="B10" i="48"/>
  <c r="C18" i="14"/>
  <c r="F7" i="48"/>
  <c r="F24" s="1"/>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27" i="48" l="1"/>
  <c r="K22" i="14"/>
  <c r="E19" i="18"/>
  <c r="I16"/>
  <c r="C68" i="14"/>
  <c r="L5" i="17"/>
  <c r="L8" s="1"/>
  <c r="L29" i="48"/>
  <c r="O78" i="14"/>
  <c r="O81" s="1"/>
  <c r="B17" i="6"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O68" i="14"/>
  <c r="C79"/>
  <c r="L22" i="16"/>
  <c r="M39" i="14" s="1"/>
  <c r="L8" i="48"/>
  <c r="L25" s="1"/>
  <c r="M13" i="14"/>
  <c r="E8" i="17"/>
  <c r="F22" i="14" s="1"/>
  <c r="J16" i="18"/>
  <c r="F19" i="14"/>
  <c r="F20" s="1"/>
  <c r="E14" i="22"/>
  <c r="K14" i="48"/>
  <c r="B34" i="13"/>
  <c r="O18" i="16"/>
  <c r="M13" i="48"/>
  <c r="M30" s="1"/>
  <c r="M51" i="22"/>
  <c r="M50" s="1"/>
  <c r="M54" s="1"/>
  <c r="M10" i="48" s="1"/>
  <c r="M27" s="1"/>
  <c r="H31" i="20"/>
  <c r="I43" i="14" s="1"/>
  <c r="H13" i="48"/>
  <c r="H30" s="1"/>
  <c r="M31" i="20"/>
  <c r="N43" i="14" s="1"/>
  <c r="G50" i="22"/>
  <c r="G54" s="1"/>
  <c r="H18" i="14" s="1"/>
  <c r="G13" i="48"/>
  <c r="G30" s="1"/>
  <c r="H17" i="14"/>
  <c r="R17" s="1"/>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B48" i="13"/>
  <c r="C48" s="1"/>
  <c r="N5" s="1"/>
  <c r="N8" s="1"/>
  <c r="N4" i="48" s="1"/>
  <c r="N21" s="1"/>
  <c r="M29"/>
  <c r="M25"/>
  <c r="M24"/>
  <c r="I31"/>
  <c r="C50" i="13"/>
  <c r="J5" s="1"/>
  <c r="J8" s="1"/>
  <c r="E12" i="17"/>
  <c r="F48" i="14" s="1"/>
  <c r="C5" i="48"/>
  <c r="C14" s="1"/>
  <c r="L12" i="17" l="1"/>
  <c r="M48" i="14" s="1"/>
  <c r="L7" i="48"/>
  <c r="L24" s="1"/>
  <c r="M22" i="14"/>
  <c r="E13"/>
  <c r="J7" i="18"/>
  <c r="E7" i="48"/>
  <c r="E24" s="1"/>
  <c r="D8"/>
  <c r="D25" s="1"/>
  <c r="J78" i="14"/>
  <c r="J81" s="1"/>
  <c r="I19" i="18"/>
  <c r="M14" i="22"/>
  <c r="I7" i="18"/>
  <c r="M7" s="1"/>
  <c r="M9" s="1"/>
  <c r="E10" i="14"/>
  <c r="E15" s="1"/>
  <c r="E23" s="1"/>
  <c r="D5" i="48"/>
  <c r="D22" s="1"/>
  <c r="D31"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Q7" i="48"/>
  <c r="B14"/>
  <c r="R22" i="14"/>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E25"/>
  <c r="E31" s="1"/>
  <c r="E14"/>
  <c r="N25"/>
  <c r="N14"/>
  <c r="E22" i="16"/>
  <c r="F39" i="14" s="1"/>
  <c r="F41" s="1"/>
  <c r="F53" s="1"/>
  <c r="J22" i="16"/>
  <c r="K39" i="14" s="1"/>
  <c r="K41" s="1"/>
  <c r="K53" s="1"/>
  <c r="K55" s="1"/>
  <c r="Q8" i="48"/>
  <c r="Q14" s="1"/>
  <c r="N31"/>
  <c r="F13" i="14"/>
  <c r="F15" s="1"/>
  <c r="F23" s="1"/>
  <c r="G14" i="48"/>
  <c r="H55" i="14"/>
  <c r="M14" i="48"/>
  <c r="R19" i="14"/>
  <c r="R20" s="1"/>
  <c r="M26" i="48"/>
  <c r="M31" s="1"/>
  <c r="F55" i="14"/>
  <c r="O53"/>
  <c r="M53"/>
  <c r="M55" s="1"/>
  <c r="C12" i="13"/>
  <c r="D37" i="14" s="1"/>
  <c r="D41" s="1"/>
  <c r="C23" i="48"/>
  <c r="C24"/>
  <c r="C27"/>
  <c r="C28"/>
  <c r="C22"/>
  <c r="C25"/>
  <c r="C29"/>
  <c r="C21"/>
  <c r="C26"/>
  <c r="R13" i="14"/>
  <c r="R15" s="1"/>
  <c r="F25" i="48"/>
  <c r="F31" s="1"/>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9" i="48" l="1"/>
  <c r="Q29" s="1"/>
  <c r="B21"/>
  <c r="Q21" s="1"/>
  <c r="Q31" s="1"/>
  <c r="B24"/>
  <c r="Q24" s="1"/>
  <c r="B22"/>
  <c r="Q22" s="1"/>
  <c r="B30"/>
  <c r="Q30" s="1"/>
  <c r="B23"/>
  <c r="Q23" s="1"/>
  <c r="B27"/>
  <c r="Q27" s="1"/>
  <c r="B26"/>
  <c r="Q26" s="1"/>
  <c r="B25"/>
  <c r="Q25" s="1"/>
  <c r="R53" i="14"/>
  <c r="C41"/>
  <c r="C53" s="1"/>
  <c r="C55" s="1"/>
  <c r="B31" i="48" l="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<sst xmlns="http://schemas.openxmlformats.org/spreadsheetml/2006/main" count="2018" uniqueCount="877">
  <si>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</si>
  <si>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</si>
  <si>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</si>
  <si>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</si>
  <si>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</si>
  <si>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</si>
  <si>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</si>
  <si>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</si>
  <si>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</si>
  <si>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</si>
  <si>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</si>
  <si>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</si>
  <si>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</si>
  <si>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</si>
  <si>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</si>
  <si>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</si>
  <si>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</si>
  <si>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</si>
  <si>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</si>
  <si>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</si>
  <si>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</si>
  <si>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</si>
  <si>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</si>
  <si>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</si>
  <si>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</si>
  <si>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</si>
  <si>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</si>
  <si>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</si>
  <si>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</si>
  <si>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</si>
  <si>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</si>
  <si>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</si>
  <si>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</si>
  <si>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</si>
  <si>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</si>
  <si>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</si>
  <si>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</si>
  <si>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</si>
  <si>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</si>
  <si>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</si>
  <si>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</si>
  <si>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</si>
  <si>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</si>
  <si>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</si>
  <si>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</si>
  <si>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</si>
  <si>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</si>
  <si>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</si>
  <si>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</si>
  <si>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</si>
  <si>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</si>
  <si>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</si>
  <si>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</si>
  <si>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</si>
  <si>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</si>
  <si>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</si>
  <si>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</si>
  <si>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</si>
  <si>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</si>
  <si>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</si>
  <si>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</si>
  <si>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</si>
  <si>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</si>
  <si>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</si>
  <si>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</si>
  <si>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</si>
  <si>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</si>
  <si>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</si>
  <si>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</si>
  <si>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</si>
  <si>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</si>
  <si>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</si>
  <si>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</si>
  <si>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</si>
  <si>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</si>
  <si>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</si>
  <si>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</si>
  <si>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</si>
  <si>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</si>
  <si>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</si>
  <si>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</si>
  <si>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</si>
  <si>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</si>
  <si>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</si>
  <si>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</si>
  <si>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</si>
  <si>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</si>
  <si>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</si>
  <si>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</si>
  <si>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</si>
  <si>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</si>
  <si>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</si>
  <si>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</si>
  <si>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</si>
  <si>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</si>
  <si>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</si>
  <si>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</si>
  <si>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</si>
  <si>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</si>
  <si>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</si>
  <si>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</si>
  <si>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</si>
  <si>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</si>
  <si>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</si>
  <si>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</si>
  <si>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</si>
  <si>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</si>
  <si>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</si>
  <si>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</si>
  <si>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</si>
  <si>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</si>
  <si>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</si>
  <si>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</si>
  <si>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</si>
  <si>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</si>
  <si>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</si>
  <si>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</si>
  <si>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</si>
  <si>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</si>
  <si>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</si>
  <si>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</si>
  <si>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</si>
  <si>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</si>
  <si>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</si>
  <si>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</si>
  <si>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</si>
  <si>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</si>
  <si>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</si>
  <si>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</si>
  <si>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</si>
  <si>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</si>
  <si>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</si>
  <si>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</si>
  <si>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</si>
  <si>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</si>
  <si>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</si>
  <si>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</si>
  <si>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</si>
  <si>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</si>
  <si>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</si>
  <si>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</si>
  <si>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</si>
  <si>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</si>
  <si>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</si>
  <si>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</si>
  <si>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</si>
  <si>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</si>
  <si>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</si>
  <si>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</si>
  <si>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</si>
  <si>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</si>
  <si>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</si>
  <si>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</si>
  <si>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</si>
  <si>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</si>
  <si>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</si>
  <si>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</si>
  <si>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</si>
  <si>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</si>
  <si>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</si>
  <si>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</si>
  <si>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</si>
  <si>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</si>
  <si>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</si>
  <si>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</si>
  <si>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</si>
  <si>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</si>
  <si>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</si>
  <si>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</si>
  <si>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</si>
  <si>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</si>
  <si>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</si>
  <si>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</si>
  <si>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</si>
  <si>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</si>
  <si>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</si>
  <si>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</si>
  <si>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</si>
  <si>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</si>
  <si>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</si>
  <si>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</si>
  <si>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</si>
  <si>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</si>
  <si>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</si>
  <si>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</si>
  <si>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</si>
  <si>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</si>
  <si>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</si>
  <si>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</si>
  <si>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</si>
  <si>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</si>
  <si>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</si>
  <si>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</si>
  <si>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</si>
  <si>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</si>
  <si>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</si>
  <si>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</si>
  <si>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</si>
  <si>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</si>
  <si>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</si>
  <si>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</si>
  <si>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</si>
  <si>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</si>
  <si>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</si>
  <si>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</si>
  <si>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</si>
  <si>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</si>
  <si>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</si>
  <si>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</si>
  <si>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</si>
  <si>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</si>
  <si>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</si>
  <si>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</si>
  <si>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</si>
  <si>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</si>
  <si>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</si>
  <si>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</si>
  <si>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</si>
  <si>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</si>
  <si>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</si>
  <si>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</si>
  <si>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</si>
  <si>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</si>
  <si>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</si>
  <si>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</si>
  <si>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</si>
  <si>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</si>
  <si>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</si>
  <si>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</si>
  <si>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</si>
  <si>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</si>
  <si>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</si>
  <si>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</si>
  <si>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</si>
  <si>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</si>
  <si>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</si>
  <si>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</si>
  <si>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</si>
  <si>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</si>
  <si>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</si>
  <si>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</si>
  <si>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</si>
  <si>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</si>
  <si>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</si>
  <si>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</si>
  <si>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</si>
  <si>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</si>
  <si>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</si>
  <si>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</si>
  <si>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</si>
  <si>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</si>
  <si>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</si>
  <si>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</si>
  <si>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</si>
  <si>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</si>
  <si>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</si>
  <si>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</si>
  <si>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</si>
  <si>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</si>
  <si>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</si>
  <si>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</si>
  <si>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</si>
  <si>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</si>
  <si>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</si>
  <si>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</si>
  <si>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</si>
  <si>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</si>
  <si>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</si>
  <si>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</si>
  <si>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</si>
  <si>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</si>
  <si>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</si>
  <si>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</si>
  <si>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</si>
  <si>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</si>
  <si>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</si>
  <si>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</si>
  <si>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</si>
  <si>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</si>
  <si>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</si>
  <si>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</si>
  <si>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</si>
  <si>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</si>
  <si>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</si>
  <si>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</si>
  <si>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</si>
  <si>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</si>
  <si>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</si>
  <si>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</si>
  <si>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</si>
  <si>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</si>
  <si>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</si>
  <si>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</si>
  <si>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</si>
  <si>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</si>
  <si>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</si>
  <si>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</si>
  <si>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</si>
  <si>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</si>
  <si>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</si>
  <si>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</si>
  <si>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</si>
  <si>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</si>
  <si>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</si>
  <si>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</si>
  <si>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</si>
  <si>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</si>
  <si>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</si>
  <si>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</si>
  <si>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</si>
  <si>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</si>
  <si>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</si>
  <si>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</si>
  <si>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</si>
  <si>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</si>
  <si>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</si>
  <si>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</si>
  <si>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</si>
  <si>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</si>
  <si>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</si>
  <si>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</si>
  <si>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</si>
  <si>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</si>
  <si>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</si>
  <si>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</si>
  <si>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</si>
  <si>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</si>
  <si>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</si>
  <si>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</si>
  <si>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</si>
  <si>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</si>
  <si>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</si>
  <si>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</si>
  <si>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</si>
  <si>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</si>
  <si>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</si>
  <si>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</si>
  <si>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</si>
  <si>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</si>
  <si>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</si>
  <si>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</si>
  <si>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</si>
  <si>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</si>
  <si>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</si>
  <si>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</si>
  <si>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</si>
  <si>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</si>
  <si>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</si>
  <si>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</si>
  <si>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</si>
  <si>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</si>
  <si>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</si>
  <si>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</si>
  <si>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</si>
  <si>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</si>
  <si>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</si>
  <si>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</si>
  <si>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</si>
  <si>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</si>
  <si>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</si>
  <si>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</si>
  <si>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</si>
  <si>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</si>
  <si>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</si>
  <si>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</si>
  <si>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</si>
  <si>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</si>
  <si>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</si>
  <si>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</si>
  <si>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</si>
  <si>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</si>
  <si>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</si>
  <si>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</si>
  <si>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</si>
  <si>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</si>
  <si>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</si>
  <si>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</si>
  <si>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</si>
  <si>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</si>
  <si>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</si>
  <si>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</si>
  <si>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</si>
  <si>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</si>
  <si>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</si>
  <si>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</si>
  <si>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</si>
  <si>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</si>
  <si>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</si>
  <si>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</si>
  <si>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</si>
  <si>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</si>
  <si>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</si>
  <si>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</si>
  <si>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</si>
  <si>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</si>
  <si>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</si>
  <si>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</si>
  <si>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</si>
  <si>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</si>
  <si>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</si>
  <si>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</si>
  <si>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</si>
  <si>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</si>
  <si>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</si>
  <si>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</si>
  <si>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</si>
  <si>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</si>
  <si>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</si>
  <si>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</si>
  <si>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</si>
  <si>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</si>
  <si>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</si>
  <si>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</si>
  <si>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</si>
  <si>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</si>
  <si>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</si>
  <si>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</si>
  <si>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</si>
  <si>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</si>
  <si>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</si>
  <si>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</si>
  <si>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</si>
  <si>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</si>
  <si>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</si>
  <si>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</si>
  <si>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</si>
  <si>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</si>
  <si>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</si>
  <si>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</si>
  <si>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</si>
  <si>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</si>
  <si>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</si>
  <si>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</si>
  <si>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</si>
  <si>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</si>
  <si>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</si>
  <si>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</si>
  <si>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</si>
  <si>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</si>
  <si>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</si>
  <si>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</si>
  <si>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</si>
  <si>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</si>
  <si>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</si>
  <si>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</si>
  <si>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</si>
  <si>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</si>
  <si>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</si>
  <si>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</si>
  <si>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</si>
  <si>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</si>
  <si>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</si>
  <si>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</si>
  <si>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</si>
  <si>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</si>
  <si>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</si>
  <si>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</si>
  <si>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</si>
  <si>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</si>
  <si>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</si>
  <si>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</si>
  <si>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</si>
  <si>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</si>
  <si>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</si>
  <si>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</si>
  <si>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</si>
  <si>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</si>
  <si>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</si>
  <si>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</si>
  <si>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</si>
  <si>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</si>
  <si>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</si>
  <si>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</si>
  <si>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</si>
  <si>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</si>
  <si>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</si>
  <si>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</si>
  <si>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</si>
  <si>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</si>
  <si>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</si>
  <si>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</si>
  <si>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</si>
  <si>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</si>
  <si>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</si>
  <si>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</si>
  <si>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</si>
  <si>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</si>
  <si>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</si>
  <si>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</si>
  <si>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</si>
  <si>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</si>
  <si>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</si>
  <si>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</si>
  <si>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</si>
  <si>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</si>
  <si>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</si>
  <si>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</si>
  <si>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</si>
  <si>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</si>
  <si>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</si>
  <si>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</si>
  <si>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</si>
  <si>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</si>
  <si>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</si>
  <si>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</si>
  <si>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</si>
  <si>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</si>
  <si>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</si>
  <si>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</si>
  <si>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</si>
  <si>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</si>
  <si>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</si>
  <si>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</si>
  <si>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</si>
  <si>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</si>
  <si>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</si>
  <si>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</si>
  <si>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</si>
  <si>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</si>
  <si>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</si>
  <si>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</si>
  <si>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</si>
  <si>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</si>
  <si>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</si>
  <si>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</si>
  <si>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</si>
  <si>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</si>
  <si>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</si>
  <si>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</si>
  <si>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</si>
  <si>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</si>
  <si>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</si>
  <si>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</si>
  <si>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</si>
  <si>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</si>
  <si>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</si>
  <si>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</si>
  <si>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</si>
  <si>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</si>
  <si>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</si>
  <si>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</si>
  <si>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</si>
  <si>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</si>
  <si>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</si>
  <si>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</si>
  <si>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</si>
  <si>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</si>
  <si>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</si>
  <si>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</si>
  <si>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</si>
  <si>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</si>
  <si>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</si>
  <si>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</si>
  <si>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</si>
  <si>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</si>
  <si>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</si>
  <si>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</si>
  <si>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</si>
  <si>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</si>
  <si>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</si>
  <si>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</si>
  <si>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</si>
  <si>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</si>
  <si>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</si>
  <si>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</si>
  <si>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</si>
  <si>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</si>
  <si>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</si>
  <si>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</si>
  <si>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</si>
  <si>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</si>
  <si>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</si>
  <si>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</si>
  <si>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</si>
  <si>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</si>
  <si>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</si>
  <si>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</si>
  <si>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</si>
  <si>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</si>
  <si>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</si>
  <si>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</si>
  <si>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</si>
  <si>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</si>
  <si>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</si>
  <si>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</si>
  <si>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</si>
  <si>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</si>
  <si>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</si>
  <si>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</si>
  <si>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</si>
  <si>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</si>
  <si>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</si>
  <si>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</si>
  <si>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</si>
  <si>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</si>
  <si>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</si>
  <si>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</si>
  <si>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</si>
  <si>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</si>
  <si>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</si>
  <si>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</si>
  <si>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</si>
  <si>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</si>
  <si>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</si>
  <si>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</si>
  <si>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</si>
  <si>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</si>
  <si>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</si>
  <si>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</si>
  <si>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</si>
  <si>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</si>
  <si>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</si>
  <si>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</si>
  <si>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</si>
  <si>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</si>
  <si>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</si>
  <si>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</si>
  <si>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</si>
  <si>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</si>
  <si>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</si>
  <si>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</si>
  <si>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</si>
  <si>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</si>
  <si>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</si>
  <si>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</si>
  <si>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</si>
  <si>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</si>
  <si>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</si>
  <si>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</si>
  <si>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</si>
  <si>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</si>
  <si>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</si>
  <si>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</si>
  <si>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</si>
  <si>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</si>
  <si>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</si>
  <si>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</si>
  <si>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</si>
  <si>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</si>
  <si>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</si>
  <si>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</si>
  <si>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</si>
  <si>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</si>
  <si>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</si>
  <si>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</si>
  <si>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</si>
  <si>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</si>
  <si>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</si>
  <si>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</si>
  <si>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</si>
  <si>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</si>
  <si>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</si>
  <si>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</si>
  <si>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</si>
  <si>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</si>
  <si>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</si>
  <si>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</si>
  <si>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</si>
  <si>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</si>
  <si>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</si>
  <si>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</si>
  <si>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</si>
  <si>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</si>
  <si>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</si>
  <si>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</si>
  <si>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</si>
  <si>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</si>
  <si>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</si>
  <si>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</si>
  <si>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</si>
  <si>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</si>
  <si>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</si>
  <si>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</si>
  <si>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</si>
  <si>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</si>
  <si>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</si>
  <si>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</si>
  <si>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</si>
  <si>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</si>
  <si>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</si>
  <si>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</si>
  <si>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</si>
  <si>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</si>
  <si>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</si>
  <si>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</si>
  <si>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</si>
  <si>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</si>
  <si>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</si>
  <si>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</si>
  <si>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</si>
  <si>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</si>
  <si>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</si>
  <si>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</si>
  <si>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</si>
  <si>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</si>
  <si>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</si>
  <si>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</si>
  <si>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</si>
  <si>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</si>
  <si>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</si>
  <si>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</si>
  <si>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</si>
  <si>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</si>
  <si>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</si>
  <si>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</si>
  <si>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</si>
  <si>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</si>
  <si>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</si>
  <si>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</si>
  <si>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</si>
  <si>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</si>
  <si>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</si>
  <si>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</si>
  <si>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</si>
  <si>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</si>
  <si>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</si>
  <si>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</si>
  <si>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</si>
  <si>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</si>
  <si>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</si>
  <si>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</si>
  <si>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</si>
  <si>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</si>
  <si>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</si>
  <si>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</si>
  <si>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</si>
  <si>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</si>
  <si>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</si>
  <si>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</si>
  <si>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</si>
  <si>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</si>
  <si>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</si>
  <si>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</si>
  <si>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</si>
  <si>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</si>
  <si>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</si>
  <si>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</si>
  <si>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</si>
  <si>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</si>
  <si>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</si>
  <si>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</si>
  <si>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</si>
  <si>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</si>
  <si>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</si>
  <si>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</si>
  <si>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</si>
  <si>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</si>
  <si>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</si>
  <si>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</si>
  <si>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</si>
  <si>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</si>
  <si>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</si>
  <si>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</si>
  <si>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</si>
  <si>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</si>
  <si>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</si>
  <si>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</si>
  <si>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</si>
  <si>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</si>
  <si>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</si>
  <si>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</si>
  <si>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</si>
  <si>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</si>
  <si>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</si>
  <si>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</si>
  <si>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</si>
  <si>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</si>
  <si>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</si>
  <si>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</si>
  <si>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</si>
  <si>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</si>
  <si>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</si>
  <si>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</si>
  <si>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</si>
  <si>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</si>
  <si>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</si>
  <si>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</si>
  <si>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</si>
  <si>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</si>
  <si>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</si>
  <si>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</si>
  <si>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</si>
  <si>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</si>
  <si>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</si>
  <si>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</si>
  <si>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</si>
  <si>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</si>
  <si>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</si>
  <si>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</si>
  <si>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</si>
  <si>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</si>
  <si>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</si>
  <si>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</si>
  <si>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</si>
  <si>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</si>
  <si>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</si>
  <si>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</si>
  <si>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</si>
  <si>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</si>
  <si>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</si>
  <si>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</si>
  <si>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</si>
  <si>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</si>
  <si>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</si>
  <si>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</si>
  <si>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</si>
  <si>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</si>
  <si>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</si>
  <si>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</si>
  <si>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</si>
  <si>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</si>
  <si>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</si>
  <si>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</si>
  <si>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</si>
  <si>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</si>
  <si>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</si>
  <si>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</si>
  <si>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</si>
  <si>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</si>
  <si>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</si>
  <si>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</si>
  <si>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</si>
  <si>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</si>
  <si>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</si>
  <si>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</si>
  <si>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</si>
  <si>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</si>
  <si>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</si>
  <si>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</si>
  <si>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</si>
  <si>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</si>
  <si>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</si>
  <si>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</si>
  <si>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</si>
  <si>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</si>
  <si>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</si>
  <si>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</si>
  <si>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</si>
  <si>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</si>
  <si>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</si>
  <si>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</si>
  <si>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</si>
  <si>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</si>
  <si>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</si>
  <si>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</si>
  <si>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</si>
  <si>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</si>
  <si>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</si>
  <si>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</si>
  <si>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</si>
  <si>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</si>
  <si>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</si>
  <si>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</si>
  <si>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</si>
  <si>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</si>
  <si>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</si>
  <si>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</si>
  <si>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</si>
  <si>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</si>
  <si>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</si>
  <si>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</si>
  <si>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</si>
  <si>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</si>
  <si>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</si>
  <si>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</si>
  <si>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</si>
  <si>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</si>
  <si>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</si>
  <si>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</si>
  <si>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</si>
  <si>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</si>
  <si>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37015</t>
  </si>
  <si>
    <t>TIELT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</si>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</sst>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37015</v>
      </c>
      <c r="B6" s="397"/>
      <c r="C6" s="398"/>
    </row>
    <row r="7" spans="1:7" s="395" customFormat="1" ht="15.75" customHeight="1">
      <c r="A7" s="399" t="str">
        <f>txtMunicipality</f>
        <v>TIELT</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32776.770810219423</v>
      </c>
      <c r="D10" s="703">
        <f ca="1">tertiair!C16</f>
        <v>0</v>
      </c>
      <c r="E10" s="703">
        <f ca="1">tertiair!D16</f>
        <v>38338.183574535469</v>
      </c>
      <c r="F10" s="703">
        <f>tertiair!E16</f>
        <v>201.64110721797857</v>
      </c>
      <c r="G10" s="703">
        <f ca="1">tertiair!F16</f>
        <v>7198.7374632915771</v>
      </c>
      <c r="H10" s="703">
        <f>tertiair!G16</f>
        <v>0</v>
      </c>
      <c r="I10" s="703">
        <f>tertiair!H16</f>
        <v>0</v>
      </c>
      <c r="J10" s="703">
        <f>tertiair!I16</f>
        <v>0</v>
      </c>
      <c r="K10" s="703">
        <f>tertiair!J16</f>
        <v>0</v>
      </c>
      <c r="L10" s="703">
        <f>tertiair!K16</f>
        <v>0</v>
      </c>
      <c r="M10" s="703">
        <f ca="1">tertiair!L16</f>
        <v>0</v>
      </c>
      <c r="N10" s="703">
        <f>tertiair!M16</f>
        <v>0</v>
      </c>
      <c r="O10" s="703">
        <f ca="1">tertiair!N16</f>
        <v>3008.6456853867085</v>
      </c>
      <c r="P10" s="703">
        <f>tertiair!O16</f>
        <v>0</v>
      </c>
      <c r="Q10" s="704">
        <f>tertiair!P16</f>
        <v>0</v>
      </c>
      <c r="R10" s="706">
        <f ca="1">SUM(C10:Q10)</f>
        <v>81523.978640651156</v>
      </c>
      <c r="S10" s="68"/>
    </row>
    <row r="11" spans="1:19" s="458" customFormat="1">
      <c r="A11" s="859" t="s">
        <v>225</v>
      </c>
      <c r="B11" s="864"/>
      <c r="C11" s="703">
        <f>huishoudens!B8</f>
        <v>35060.229696302784</v>
      </c>
      <c r="D11" s="703">
        <f>huishoudens!C8</f>
        <v>0</v>
      </c>
      <c r="E11" s="703">
        <f>huishoudens!D8</f>
        <v>79465.536641925326</v>
      </c>
      <c r="F11" s="703">
        <f>huishoudens!E8</f>
        <v>8030.0185905409107</v>
      </c>
      <c r="G11" s="703">
        <f>huishoudens!F8</f>
        <v>18681.826491712531</v>
      </c>
      <c r="H11" s="703">
        <f>huishoudens!G8</f>
        <v>0</v>
      </c>
      <c r="I11" s="703">
        <f>huishoudens!H8</f>
        <v>0</v>
      </c>
      <c r="J11" s="703">
        <f>huishoudens!I8</f>
        <v>0</v>
      </c>
      <c r="K11" s="703">
        <f>huishoudens!J8</f>
        <v>2259.4825476201217</v>
      </c>
      <c r="L11" s="703">
        <f>huishoudens!K8</f>
        <v>0</v>
      </c>
      <c r="M11" s="703">
        <f>huishoudens!L8</f>
        <v>0</v>
      </c>
      <c r="N11" s="703">
        <f>huishoudens!M8</f>
        <v>0</v>
      </c>
      <c r="O11" s="703">
        <f>huishoudens!N8</f>
        <v>20922.907002786826</v>
      </c>
      <c r="P11" s="703">
        <f>huishoudens!O8</f>
        <v>140.70000000000002</v>
      </c>
      <c r="Q11" s="704">
        <f>huishoudens!P8</f>
        <v>324.13333333333333</v>
      </c>
      <c r="R11" s="706">
        <f>SUM(C11:Q11)</f>
        <v>164884.83430422182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134118.37221713288</v>
      </c>
      <c r="D13" s="703">
        <f>industrie!C18</f>
        <v>0</v>
      </c>
      <c r="E13" s="703">
        <f>industrie!D18</f>
        <v>186536.55522295638</v>
      </c>
      <c r="F13" s="703">
        <f>industrie!E18</f>
        <v>1028.5482899398658</v>
      </c>
      <c r="G13" s="703">
        <f>industrie!F18</f>
        <v>59377.753188372284</v>
      </c>
      <c r="H13" s="703">
        <f>industrie!G18</f>
        <v>0</v>
      </c>
      <c r="I13" s="703">
        <f>industrie!H18</f>
        <v>0</v>
      </c>
      <c r="J13" s="703">
        <f>industrie!I18</f>
        <v>0</v>
      </c>
      <c r="K13" s="703">
        <f>industrie!J18</f>
        <v>279.32685107623337</v>
      </c>
      <c r="L13" s="703">
        <f>industrie!K18</f>
        <v>0</v>
      </c>
      <c r="M13" s="703">
        <f>industrie!L18</f>
        <v>0</v>
      </c>
      <c r="N13" s="703">
        <f>industrie!M18</f>
        <v>0</v>
      </c>
      <c r="O13" s="703">
        <f>industrie!N18</f>
        <v>6829.4476989264022</v>
      </c>
      <c r="P13" s="703">
        <f>industrie!O18</f>
        <v>0</v>
      </c>
      <c r="Q13" s="704">
        <f>industrie!P18</f>
        <v>0</v>
      </c>
      <c r="R13" s="706">
        <f>SUM(C13:Q13)</f>
        <v>388170.00346840406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201955.37272365508</v>
      </c>
      <c r="D15" s="708">
        <f t="shared" ref="D15:Q15" ca="1" si="0">SUM(D9:D14)</f>
        <v>0</v>
      </c>
      <c r="E15" s="708">
        <f t="shared" ca="1" si="0"/>
        <v>304340.27543941716</v>
      </c>
      <c r="F15" s="708">
        <f t="shared" si="0"/>
        <v>9260.2079876987555</v>
      </c>
      <c r="G15" s="708">
        <f t="shared" ca="1" si="0"/>
        <v>85258.317143376393</v>
      </c>
      <c r="H15" s="708">
        <f t="shared" si="0"/>
        <v>0</v>
      </c>
      <c r="I15" s="708">
        <f t="shared" si="0"/>
        <v>0</v>
      </c>
      <c r="J15" s="708">
        <f t="shared" si="0"/>
        <v>0</v>
      </c>
      <c r="K15" s="708">
        <f t="shared" si="0"/>
        <v>2538.8093986963549</v>
      </c>
      <c r="L15" s="708">
        <f t="shared" si="0"/>
        <v>0</v>
      </c>
      <c r="M15" s="708">
        <f t="shared" ca="1" si="0"/>
        <v>0</v>
      </c>
      <c r="N15" s="708">
        <f t="shared" si="0"/>
        <v>0</v>
      </c>
      <c r="O15" s="708">
        <f t="shared" ca="1" si="0"/>
        <v>30761.000387099935</v>
      </c>
      <c r="P15" s="708">
        <f t="shared" si="0"/>
        <v>140.70000000000002</v>
      </c>
      <c r="Q15" s="709">
        <f t="shared" si="0"/>
        <v>324.13333333333333</v>
      </c>
      <c r="R15" s="710">
        <f ca="1">SUM(R9:R14)</f>
        <v>634578.81641327706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1305.0668389041164</v>
      </c>
      <c r="I18" s="703">
        <f>transport!H54</f>
        <v>0</v>
      </c>
      <c r="J18" s="703">
        <f>transport!I54</f>
        <v>0</v>
      </c>
      <c r="K18" s="703">
        <f>transport!J54</f>
        <v>0</v>
      </c>
      <c r="L18" s="703">
        <f>transport!K54</f>
        <v>0</v>
      </c>
      <c r="M18" s="703">
        <f>transport!L54</f>
        <v>0</v>
      </c>
      <c r="N18" s="703">
        <f>transport!M54</f>
        <v>57.307637738693167</v>
      </c>
      <c r="O18" s="703">
        <f>transport!N54</f>
        <v>0</v>
      </c>
      <c r="P18" s="703">
        <f>transport!O54</f>
        <v>0</v>
      </c>
      <c r="Q18" s="704">
        <f>transport!P54</f>
        <v>0</v>
      </c>
      <c r="R18" s="706">
        <f>SUM(C18:Q18)</f>
        <v>1362.3744766428094</v>
      </c>
      <c r="S18" s="68"/>
    </row>
    <row r="19" spans="1:19" s="458" customFormat="1" ht="15" thickBot="1">
      <c r="A19" s="859" t="s">
        <v>307</v>
      </c>
      <c r="B19" s="864"/>
      <c r="C19" s="712">
        <f>transport!B14</f>
        <v>2.0317297161046755</v>
      </c>
      <c r="D19" s="712">
        <f>transport!C14</f>
        <v>0</v>
      </c>
      <c r="E19" s="712">
        <f>transport!D14</f>
        <v>5.714376928367769</v>
      </c>
      <c r="F19" s="712">
        <f>transport!E14</f>
        <v>330.391214688079</v>
      </c>
      <c r="G19" s="712">
        <f>transport!F14</f>
        <v>0</v>
      </c>
      <c r="H19" s="712">
        <f>transport!G14</f>
        <v>76583.309794735644</v>
      </c>
      <c r="I19" s="712">
        <f>transport!H14</f>
        <v>12682.243031058748</v>
      </c>
      <c r="J19" s="712">
        <f>transport!I14</f>
        <v>0</v>
      </c>
      <c r="K19" s="712">
        <f>transport!J14</f>
        <v>0</v>
      </c>
      <c r="L19" s="712">
        <f>transport!K14</f>
        <v>0</v>
      </c>
      <c r="M19" s="712">
        <f>transport!L14</f>
        <v>0</v>
      </c>
      <c r="N19" s="712">
        <f>transport!M14</f>
        <v>3990.4110639137239</v>
      </c>
      <c r="O19" s="712">
        <f>transport!N14</f>
        <v>0</v>
      </c>
      <c r="P19" s="712">
        <f>transport!O14</f>
        <v>0</v>
      </c>
      <c r="Q19" s="713">
        <f>transport!P14</f>
        <v>0</v>
      </c>
      <c r="R19" s="714">
        <f>SUM(C19:Q19)</f>
        <v>93594.101211040674</v>
      </c>
      <c r="S19" s="68"/>
    </row>
    <row r="20" spans="1:19" s="458" customFormat="1" ht="15.75" thickBot="1">
      <c r="A20" s="715" t="s">
        <v>230</v>
      </c>
      <c r="B20" s="867"/>
      <c r="C20" s="862">
        <f>SUM(C17:C19)</f>
        <v>2.0317297161046755</v>
      </c>
      <c r="D20" s="716">
        <f t="shared" ref="D20:R20" si="1">SUM(D17:D19)</f>
        <v>0</v>
      </c>
      <c r="E20" s="716">
        <f t="shared" si="1"/>
        <v>5.714376928367769</v>
      </c>
      <c r="F20" s="716">
        <f t="shared" si="1"/>
        <v>330.391214688079</v>
      </c>
      <c r="G20" s="716">
        <f t="shared" si="1"/>
        <v>0</v>
      </c>
      <c r="H20" s="716">
        <f t="shared" si="1"/>
        <v>77888.376633639753</v>
      </c>
      <c r="I20" s="716">
        <f t="shared" si="1"/>
        <v>12682.243031058748</v>
      </c>
      <c r="J20" s="716">
        <f t="shared" si="1"/>
        <v>0</v>
      </c>
      <c r="K20" s="716">
        <f t="shared" si="1"/>
        <v>0</v>
      </c>
      <c r="L20" s="716">
        <f t="shared" si="1"/>
        <v>0</v>
      </c>
      <c r="M20" s="716">
        <f t="shared" si="1"/>
        <v>0</v>
      </c>
      <c r="N20" s="716">
        <f t="shared" si="1"/>
        <v>4047.7187016524172</v>
      </c>
      <c r="O20" s="716">
        <f t="shared" si="1"/>
        <v>0</v>
      </c>
      <c r="P20" s="716">
        <f t="shared" si="1"/>
        <v>0</v>
      </c>
      <c r="Q20" s="717">
        <f t="shared" si="1"/>
        <v>0</v>
      </c>
      <c r="R20" s="718">
        <f t="shared" si="1"/>
        <v>94956.475687683487</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12127.103628133045</v>
      </c>
      <c r="D22" s="712">
        <f>+landbouw!C8</f>
        <v>0</v>
      </c>
      <c r="E22" s="712">
        <f>+landbouw!D8</f>
        <v>4701.3233566899826</v>
      </c>
      <c r="F22" s="712">
        <f>+landbouw!E8</f>
        <v>114.24544160298323</v>
      </c>
      <c r="G22" s="712">
        <f>+landbouw!F8</f>
        <v>39574.763770835962</v>
      </c>
      <c r="H22" s="712">
        <f>+landbouw!G8</f>
        <v>0</v>
      </c>
      <c r="I22" s="712">
        <f>+landbouw!H8</f>
        <v>0</v>
      </c>
      <c r="J22" s="712">
        <f>+landbouw!I8</f>
        <v>0</v>
      </c>
      <c r="K22" s="712">
        <f>+landbouw!J8</f>
        <v>1500.1817050207737</v>
      </c>
      <c r="L22" s="712">
        <f>+landbouw!K8</f>
        <v>0</v>
      </c>
      <c r="M22" s="712">
        <f>+landbouw!L8</f>
        <v>0</v>
      </c>
      <c r="N22" s="712">
        <f>+landbouw!M8</f>
        <v>0</v>
      </c>
      <c r="O22" s="712">
        <f>+landbouw!N8</f>
        <v>0</v>
      </c>
      <c r="P22" s="712">
        <f>+landbouw!O8</f>
        <v>0</v>
      </c>
      <c r="Q22" s="713">
        <f>+landbouw!P8</f>
        <v>0</v>
      </c>
      <c r="R22" s="714">
        <f>SUM(C22:Q22)</f>
        <v>58017.617902282749</v>
      </c>
      <c r="S22" s="68"/>
    </row>
    <row r="23" spans="1:19" s="458" customFormat="1" ht="17.25" thickTop="1" thickBot="1">
      <c r="A23" s="719" t="s">
        <v>116</v>
      </c>
      <c r="B23" s="853"/>
      <c r="C23" s="720">
        <f ca="1">C20+C15+C22</f>
        <v>214084.50808150423</v>
      </c>
      <c r="D23" s="720">
        <f t="shared" ref="D23:Q23" ca="1" si="2">D20+D15+D22</f>
        <v>0</v>
      </c>
      <c r="E23" s="720">
        <f t="shared" ca="1" si="2"/>
        <v>309047.31317303551</v>
      </c>
      <c r="F23" s="720">
        <f t="shared" si="2"/>
        <v>9704.844643989818</v>
      </c>
      <c r="G23" s="720">
        <f t="shared" ca="1" si="2"/>
        <v>124833.08091421236</v>
      </c>
      <c r="H23" s="720">
        <f t="shared" si="2"/>
        <v>77888.376633639753</v>
      </c>
      <c r="I23" s="720">
        <f t="shared" si="2"/>
        <v>12682.243031058748</v>
      </c>
      <c r="J23" s="720">
        <f t="shared" si="2"/>
        <v>0</v>
      </c>
      <c r="K23" s="720">
        <f t="shared" si="2"/>
        <v>4038.9911037171287</v>
      </c>
      <c r="L23" s="720">
        <f t="shared" si="2"/>
        <v>0</v>
      </c>
      <c r="M23" s="720">
        <f t="shared" ca="1" si="2"/>
        <v>0</v>
      </c>
      <c r="N23" s="720">
        <f t="shared" si="2"/>
        <v>4047.7187016524172</v>
      </c>
      <c r="O23" s="720">
        <f t="shared" ca="1" si="2"/>
        <v>30761.000387099935</v>
      </c>
      <c r="P23" s="720">
        <f t="shared" si="2"/>
        <v>140.70000000000002</v>
      </c>
      <c r="Q23" s="721">
        <f t="shared" si="2"/>
        <v>324.13333333333333</v>
      </c>
      <c r="R23" s="722">
        <f ca="1">R20+R15+R22</f>
        <v>787552.91000324325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6859.4995079015453</v>
      </c>
      <c r="D36" s="703">
        <f ca="1">tertiair!C20</f>
        <v>0</v>
      </c>
      <c r="E36" s="703">
        <f ca="1">tertiair!D20</f>
        <v>7744.3130820561655</v>
      </c>
      <c r="F36" s="703">
        <f>tertiair!E20</f>
        <v>45.772531338481137</v>
      </c>
      <c r="G36" s="703">
        <f ca="1">tertiair!F20</f>
        <v>1922.0629026988513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16571.648023995043</v>
      </c>
    </row>
    <row r="37" spans="1:18">
      <c r="A37" s="874" t="s">
        <v>225</v>
      </c>
      <c r="B37" s="881"/>
      <c r="C37" s="703">
        <f ca="1">huishoudens!B12</f>
        <v>7337.3801751611336</v>
      </c>
      <c r="D37" s="703">
        <f ca="1">huishoudens!C12</f>
        <v>0</v>
      </c>
      <c r="E37" s="703">
        <f>huishoudens!D12</f>
        <v>16052.038401668917</v>
      </c>
      <c r="F37" s="703">
        <f>huishoudens!E12</f>
        <v>1822.8142200527868</v>
      </c>
      <c r="G37" s="703">
        <f>huishoudens!F12</f>
        <v>4988.0476732872457</v>
      </c>
      <c r="H37" s="703">
        <f>huishoudens!G12</f>
        <v>0</v>
      </c>
      <c r="I37" s="703">
        <f>huishoudens!H12</f>
        <v>0</v>
      </c>
      <c r="J37" s="703">
        <f>huishoudens!I12</f>
        <v>0</v>
      </c>
      <c r="K37" s="703">
        <f>huishoudens!J12</f>
        <v>799.85682185752307</v>
      </c>
      <c r="L37" s="703">
        <f>huishoudens!K12</f>
        <v>0</v>
      </c>
      <c r="M37" s="703">
        <f>huishoudens!L12</f>
        <v>0</v>
      </c>
      <c r="N37" s="703">
        <f>huishoudens!M12</f>
        <v>0</v>
      </c>
      <c r="O37" s="703">
        <f>huishoudens!N12</f>
        <v>0</v>
      </c>
      <c r="P37" s="703">
        <f>huishoudens!O12</f>
        <v>0</v>
      </c>
      <c r="Q37" s="813">
        <f>huishoudens!P12</f>
        <v>0</v>
      </c>
      <c r="R37" s="906">
        <f ca="1">SUM(C37:Q37)</f>
        <v>31000.137292027608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28068.198467468879</v>
      </c>
      <c r="D39" s="703">
        <f ca="1">industrie!C22</f>
        <v>0</v>
      </c>
      <c r="E39" s="703">
        <f>industrie!D22</f>
        <v>37680.384155037187</v>
      </c>
      <c r="F39" s="703">
        <f>industrie!E22</f>
        <v>233.48046181634953</v>
      </c>
      <c r="G39" s="703">
        <f>industrie!F22</f>
        <v>15853.8601012954</v>
      </c>
      <c r="H39" s="703">
        <f>industrie!G22</f>
        <v>0</v>
      </c>
      <c r="I39" s="703">
        <f>industrie!H22</f>
        <v>0</v>
      </c>
      <c r="J39" s="703">
        <f>industrie!I22</f>
        <v>0</v>
      </c>
      <c r="K39" s="703">
        <f>industrie!J22</f>
        <v>98.881705280986608</v>
      </c>
      <c r="L39" s="703">
        <f>industrie!K22</f>
        <v>0</v>
      </c>
      <c r="M39" s="703">
        <f>industrie!L22</f>
        <v>0</v>
      </c>
      <c r="N39" s="703">
        <f>industrie!M22</f>
        <v>0</v>
      </c>
      <c r="O39" s="703">
        <f>industrie!N22</f>
        <v>0</v>
      </c>
      <c r="P39" s="703">
        <f>industrie!O22</f>
        <v>0</v>
      </c>
      <c r="Q39" s="813">
        <f>industrie!P22</f>
        <v>0</v>
      </c>
      <c r="R39" s="907">
        <f ca="1">SUM(C39:Q39)</f>
        <v>81934.804890898813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42265.078150531554</v>
      </c>
      <c r="D41" s="748">
        <f t="shared" ref="D41:R41" ca="1" si="4">SUM(D35:D40)</f>
        <v>0</v>
      </c>
      <c r="E41" s="748">
        <f t="shared" ca="1" si="4"/>
        <v>61476.735638762271</v>
      </c>
      <c r="F41" s="748">
        <f t="shared" si="4"/>
        <v>2102.0672132076174</v>
      </c>
      <c r="G41" s="748">
        <f t="shared" ca="1" si="4"/>
        <v>22763.970677281497</v>
      </c>
      <c r="H41" s="748">
        <f t="shared" si="4"/>
        <v>0</v>
      </c>
      <c r="I41" s="748">
        <f t="shared" si="4"/>
        <v>0</v>
      </c>
      <c r="J41" s="748">
        <f t="shared" si="4"/>
        <v>0</v>
      </c>
      <c r="K41" s="748">
        <f t="shared" si="4"/>
        <v>898.73852713850965</v>
      </c>
      <c r="L41" s="748">
        <f t="shared" si="4"/>
        <v>0</v>
      </c>
      <c r="M41" s="748">
        <f t="shared" ca="1" si="4"/>
        <v>0</v>
      </c>
      <c r="N41" s="748">
        <f t="shared" si="4"/>
        <v>0</v>
      </c>
      <c r="O41" s="748">
        <f t="shared" ca="1" si="4"/>
        <v>0</v>
      </c>
      <c r="P41" s="748">
        <f t="shared" si="4"/>
        <v>0</v>
      </c>
      <c r="Q41" s="749">
        <f t="shared" si="4"/>
        <v>0</v>
      </c>
      <c r="R41" s="750">
        <f t="shared" ca="1" si="4"/>
        <v>129506.59020692146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348.45284598739909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348.45284598739909</v>
      </c>
    </row>
    <row r="45" spans="1:18" ht="15" thickBot="1">
      <c r="A45" s="877" t="s">
        <v>307</v>
      </c>
      <c r="B45" s="887"/>
      <c r="C45" s="712">
        <f ca="1">transport!B18</f>
        <v>0.42519896387912876</v>
      </c>
      <c r="D45" s="712">
        <f>transport!C18</f>
        <v>0</v>
      </c>
      <c r="E45" s="712">
        <f>transport!D18</f>
        <v>1.1543041395302893</v>
      </c>
      <c r="F45" s="712">
        <f>transport!E18</f>
        <v>74.998805734193937</v>
      </c>
      <c r="G45" s="712">
        <f>transport!F18</f>
        <v>0</v>
      </c>
      <c r="H45" s="712">
        <f>transport!G18</f>
        <v>20447.743715194418</v>
      </c>
      <c r="I45" s="712">
        <f>transport!H18</f>
        <v>3157.8785147336284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23682.20053876565</v>
      </c>
    </row>
    <row r="46" spans="1:18" ht="15.75" thickBot="1">
      <c r="A46" s="875" t="s">
        <v>230</v>
      </c>
      <c r="B46" s="888"/>
      <c r="C46" s="748">
        <f t="shared" ref="C46:R46" ca="1" si="5">SUM(C43:C45)</f>
        <v>0.42519896387912876</v>
      </c>
      <c r="D46" s="748">
        <f t="shared" ca="1" si="5"/>
        <v>0</v>
      </c>
      <c r="E46" s="748">
        <f t="shared" si="5"/>
        <v>1.1543041395302893</v>
      </c>
      <c r="F46" s="748">
        <f t="shared" si="5"/>
        <v>74.998805734193937</v>
      </c>
      <c r="G46" s="748">
        <f t="shared" si="5"/>
        <v>0</v>
      </c>
      <c r="H46" s="748">
        <f t="shared" si="5"/>
        <v>20796.196561181816</v>
      </c>
      <c r="I46" s="748">
        <f t="shared" si="5"/>
        <v>3157.8785147336284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24030.653384753048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2537.9517052214696</v>
      </c>
      <c r="D48" s="703">
        <f ca="1">+landbouw!C12</f>
        <v>0</v>
      </c>
      <c r="E48" s="703">
        <f>+landbouw!D12</f>
        <v>949.66731805137658</v>
      </c>
      <c r="F48" s="703">
        <f>+landbouw!E12</f>
        <v>25.933715243877195</v>
      </c>
      <c r="G48" s="703">
        <f>+landbouw!F12</f>
        <v>10566.461926813203</v>
      </c>
      <c r="H48" s="703">
        <f>+landbouw!G12</f>
        <v>0</v>
      </c>
      <c r="I48" s="703">
        <f>+landbouw!H12</f>
        <v>0</v>
      </c>
      <c r="J48" s="703">
        <f>+landbouw!I12</f>
        <v>0</v>
      </c>
      <c r="K48" s="703">
        <f>+landbouw!J12</f>
        <v>531.06432357735389</v>
      </c>
      <c r="L48" s="703">
        <f>+landbouw!K12</f>
        <v>0</v>
      </c>
      <c r="M48" s="703">
        <f>+landbouw!L12</f>
        <v>0</v>
      </c>
      <c r="N48" s="703">
        <f>+landbouw!M12</f>
        <v>0</v>
      </c>
      <c r="O48" s="703">
        <f>+landbouw!N12</f>
        <v>0</v>
      </c>
      <c r="P48" s="703">
        <f>+landbouw!O12</f>
        <v>0</v>
      </c>
      <c r="Q48" s="704">
        <f>+landbouw!P12</f>
        <v>0</v>
      </c>
      <c r="R48" s="746">
        <f ca="1">SUM(C48:Q48)</f>
        <v>14611.07898890728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44803.455054716906</v>
      </c>
      <c r="D53" s="758">
        <f t="shared" ref="D53:Q53" ca="1" si="6">D41+D46+D48</f>
        <v>0</v>
      </c>
      <c r="E53" s="758">
        <f t="shared" ca="1" si="6"/>
        <v>62427.557260953174</v>
      </c>
      <c r="F53" s="758">
        <f t="shared" si="6"/>
        <v>2202.9997341856883</v>
      </c>
      <c r="G53" s="758">
        <f t="shared" ca="1" si="6"/>
        <v>33330.432604094698</v>
      </c>
      <c r="H53" s="758">
        <f t="shared" si="6"/>
        <v>20796.196561181816</v>
      </c>
      <c r="I53" s="758">
        <f t="shared" si="6"/>
        <v>3157.8785147336284</v>
      </c>
      <c r="J53" s="758">
        <f t="shared" si="6"/>
        <v>0</v>
      </c>
      <c r="K53" s="758">
        <f t="shared" si="6"/>
        <v>1429.8028507158635</v>
      </c>
      <c r="L53" s="758">
        <f t="shared" si="6"/>
        <v>0</v>
      </c>
      <c r="M53" s="758">
        <f t="shared" ca="1" si="6"/>
        <v>0</v>
      </c>
      <c r="N53" s="758">
        <f t="shared" si="6"/>
        <v>0</v>
      </c>
      <c r="O53" s="758">
        <f t="shared" ca="1" si="6"/>
        <v>0</v>
      </c>
      <c r="P53" s="758">
        <f>P41+P46+P48</f>
        <v>0</v>
      </c>
      <c r="Q53" s="759">
        <f t="shared" si="6"/>
        <v>0</v>
      </c>
      <c r="R53" s="760">
        <f ca="1">R41+R46+R48</f>
        <v>168148.32258058179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0.20927929562124017</v>
      </c>
      <c r="D55" s="824">
        <f t="shared" ca="1" si="7"/>
        <v>0</v>
      </c>
      <c r="E55" s="824">
        <f t="shared" ca="1" si="7"/>
        <v>0.20200000000000001</v>
      </c>
      <c r="F55" s="824">
        <f t="shared" si="7"/>
        <v>0.22699999999999995</v>
      </c>
      <c r="G55" s="824">
        <f t="shared" ca="1" si="7"/>
        <v>0.26699999999999996</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11353.942223056689</v>
      </c>
      <c r="C66" s="780">
        <f>'lokale energieproductie'!B6</f>
        <v>11353.942223056689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11353.942223056689</v>
      </c>
      <c r="C69" s="788">
        <f>SUM(C64:C68)</f>
        <v>11353.942223056689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35060.229696302784</v>
      </c>
      <c r="C4" s="462">
        <f>huishoudens!C8</f>
        <v>0</v>
      </c>
      <c r="D4" s="462">
        <f>huishoudens!D8</f>
        <v>79465.536641925326</v>
      </c>
      <c r="E4" s="462">
        <f>huishoudens!E8</f>
        <v>8030.0185905409107</v>
      </c>
      <c r="F4" s="462">
        <f>huishoudens!F8</f>
        <v>18681.826491712531</v>
      </c>
      <c r="G4" s="462">
        <f>huishoudens!G8</f>
        <v>0</v>
      </c>
      <c r="H4" s="462">
        <f>huishoudens!H8</f>
        <v>0</v>
      </c>
      <c r="I4" s="462">
        <f>huishoudens!I8</f>
        <v>0</v>
      </c>
      <c r="J4" s="462">
        <f>huishoudens!J8</f>
        <v>2259.4825476201217</v>
      </c>
      <c r="K4" s="462">
        <f>huishoudens!K8</f>
        <v>0</v>
      </c>
      <c r="L4" s="462">
        <f>huishoudens!L8</f>
        <v>0</v>
      </c>
      <c r="M4" s="462">
        <f>huishoudens!M8</f>
        <v>0</v>
      </c>
      <c r="N4" s="462">
        <f>huishoudens!N8</f>
        <v>20922.907002786826</v>
      </c>
      <c r="O4" s="462">
        <f>huishoudens!O8</f>
        <v>140.70000000000002</v>
      </c>
      <c r="P4" s="463">
        <f>huishoudens!P8</f>
        <v>324.13333333333333</v>
      </c>
      <c r="Q4" s="464">
        <f>SUM(B4:P4)</f>
        <v>164884.83430422182</v>
      </c>
    </row>
    <row r="5" spans="1:17">
      <c r="A5" s="461" t="s">
        <v>156</v>
      </c>
      <c r="B5" s="462">
        <f ca="1">tertiair!B16</f>
        <v>31033.31081021942</v>
      </c>
      <c r="C5" s="462">
        <f ca="1">tertiair!C16</f>
        <v>0</v>
      </c>
      <c r="D5" s="462">
        <f ca="1">tertiair!D16</f>
        <v>38338.183574535469</v>
      </c>
      <c r="E5" s="462">
        <f>tertiair!E16</f>
        <v>201.64110721797857</v>
      </c>
      <c r="F5" s="462">
        <f ca="1">tertiair!F16</f>
        <v>7198.7374632915771</v>
      </c>
      <c r="G5" s="462">
        <f>tertiair!G16</f>
        <v>0</v>
      </c>
      <c r="H5" s="462">
        <f>tertiair!H16</f>
        <v>0</v>
      </c>
      <c r="I5" s="462">
        <f>tertiair!I16</f>
        <v>0</v>
      </c>
      <c r="J5" s="462">
        <f>tertiair!J16</f>
        <v>0</v>
      </c>
      <c r="K5" s="462">
        <f>tertiair!K16</f>
        <v>0</v>
      </c>
      <c r="L5" s="462">
        <f ca="1">tertiair!L16</f>
        <v>0</v>
      </c>
      <c r="M5" s="462">
        <f>tertiair!M16</f>
        <v>0</v>
      </c>
      <c r="N5" s="462">
        <f ca="1">tertiair!N16</f>
        <v>3008.6456853867085</v>
      </c>
      <c r="O5" s="462">
        <f>tertiair!O16</f>
        <v>0</v>
      </c>
      <c r="P5" s="463">
        <f>tertiair!P16</f>
        <v>0</v>
      </c>
      <c r="Q5" s="461">
        <f t="shared" ref="Q5:Q13" ca="1" si="0">SUM(B5:P5)</f>
        <v>79780.518640651149</v>
      </c>
    </row>
    <row r="6" spans="1:17">
      <c r="A6" s="461" t="s">
        <v>194</v>
      </c>
      <c r="B6" s="462">
        <f>'openbare verlichting'!B8</f>
        <v>1743.46</v>
      </c>
      <c r="C6" s="462"/>
      <c r="D6" s="462"/>
      <c r="E6" s="462"/>
      <c r="F6" s="462"/>
      <c r="G6" s="462"/>
      <c r="H6" s="462"/>
      <c r="I6" s="462"/>
      <c r="J6" s="462"/>
      <c r="K6" s="462"/>
      <c r="L6" s="462"/>
      <c r="M6" s="462"/>
      <c r="N6" s="462"/>
      <c r="O6" s="462"/>
      <c r="P6" s="463"/>
      <c r="Q6" s="461">
        <f t="shared" si="0"/>
        <v>1743.46</v>
      </c>
    </row>
    <row r="7" spans="1:17">
      <c r="A7" s="461" t="s">
        <v>112</v>
      </c>
      <c r="B7" s="462">
        <f>landbouw!B8</f>
        <v>12127.103628133045</v>
      </c>
      <c r="C7" s="462">
        <f>landbouw!C8</f>
        <v>0</v>
      </c>
      <c r="D7" s="462">
        <f>landbouw!D8</f>
        <v>4701.3233566899826</v>
      </c>
      <c r="E7" s="462">
        <f>landbouw!E8</f>
        <v>114.24544160298323</v>
      </c>
      <c r="F7" s="462">
        <f>landbouw!F8</f>
        <v>39574.763770835962</v>
      </c>
      <c r="G7" s="462">
        <f>landbouw!G8</f>
        <v>0</v>
      </c>
      <c r="H7" s="462">
        <f>landbouw!H8</f>
        <v>0</v>
      </c>
      <c r="I7" s="462">
        <f>landbouw!I8</f>
        <v>0</v>
      </c>
      <c r="J7" s="462">
        <f>landbouw!J8</f>
        <v>1500.1817050207737</v>
      </c>
      <c r="K7" s="462">
        <f>landbouw!K8</f>
        <v>0</v>
      </c>
      <c r="L7" s="462">
        <f>landbouw!L8</f>
        <v>0</v>
      </c>
      <c r="M7" s="462">
        <f>landbouw!M8</f>
        <v>0</v>
      </c>
      <c r="N7" s="462">
        <f>landbouw!N8</f>
        <v>0</v>
      </c>
      <c r="O7" s="462">
        <f>landbouw!O8</f>
        <v>0</v>
      </c>
      <c r="P7" s="463">
        <f>landbouw!P8</f>
        <v>0</v>
      </c>
      <c r="Q7" s="461">
        <f t="shared" si="0"/>
        <v>58017.617902282749</v>
      </c>
    </row>
    <row r="8" spans="1:17">
      <c r="A8" s="461" t="s">
        <v>685</v>
      </c>
      <c r="B8" s="462">
        <f>industrie!B18</f>
        <v>134118.37221713288</v>
      </c>
      <c r="C8" s="462">
        <f>industrie!C18</f>
        <v>0</v>
      </c>
      <c r="D8" s="462">
        <f>industrie!D18</f>
        <v>186536.55522295638</v>
      </c>
      <c r="E8" s="462">
        <f>industrie!E18</f>
        <v>1028.5482899398658</v>
      </c>
      <c r="F8" s="462">
        <f>industrie!F18</f>
        <v>59377.753188372284</v>
      </c>
      <c r="G8" s="462">
        <f>industrie!G18</f>
        <v>0</v>
      </c>
      <c r="H8" s="462">
        <f>industrie!H18</f>
        <v>0</v>
      </c>
      <c r="I8" s="462">
        <f>industrie!I18</f>
        <v>0</v>
      </c>
      <c r="J8" s="462">
        <f>industrie!J18</f>
        <v>279.32685107623337</v>
      </c>
      <c r="K8" s="462">
        <f>industrie!K18</f>
        <v>0</v>
      </c>
      <c r="L8" s="462">
        <f>industrie!L18</f>
        <v>0</v>
      </c>
      <c r="M8" s="462">
        <f>industrie!M18</f>
        <v>0</v>
      </c>
      <c r="N8" s="462">
        <f>industrie!N18</f>
        <v>6829.4476989264022</v>
      </c>
      <c r="O8" s="462">
        <f>industrie!O18</f>
        <v>0</v>
      </c>
      <c r="P8" s="463">
        <f>industrie!P18</f>
        <v>0</v>
      </c>
      <c r="Q8" s="461">
        <f t="shared" si="0"/>
        <v>388170.00346840406</v>
      </c>
    </row>
    <row r="9" spans="1:17" s="467" customFormat="1">
      <c r="A9" s="465" t="s">
        <v>579</v>
      </c>
      <c r="B9" s="466">
        <f>transport!B14</f>
        <v>2.0317297161046755</v>
      </c>
      <c r="C9" s="466">
        <f>transport!C14</f>
        <v>0</v>
      </c>
      <c r="D9" s="466">
        <f>transport!D14</f>
        <v>5.714376928367769</v>
      </c>
      <c r="E9" s="466">
        <f>transport!E14</f>
        <v>330.391214688079</v>
      </c>
      <c r="F9" s="466">
        <f>transport!F14</f>
        <v>0</v>
      </c>
      <c r="G9" s="466">
        <f>transport!G14</f>
        <v>76583.309794735644</v>
      </c>
      <c r="H9" s="466">
        <f>transport!H14</f>
        <v>12682.243031058748</v>
      </c>
      <c r="I9" s="466">
        <f>transport!I14</f>
        <v>0</v>
      </c>
      <c r="J9" s="466">
        <f>transport!J14</f>
        <v>0</v>
      </c>
      <c r="K9" s="466">
        <f>transport!K14</f>
        <v>0</v>
      </c>
      <c r="L9" s="466">
        <f>transport!L14</f>
        <v>0</v>
      </c>
      <c r="M9" s="466">
        <f>transport!M14</f>
        <v>3990.4110639137239</v>
      </c>
      <c r="N9" s="466">
        <f>transport!N14</f>
        <v>0</v>
      </c>
      <c r="O9" s="466">
        <f>transport!O14</f>
        <v>0</v>
      </c>
      <c r="P9" s="466">
        <f>transport!P14</f>
        <v>0</v>
      </c>
      <c r="Q9" s="465">
        <f>SUM(B9:P9)</f>
        <v>93594.101211040674</v>
      </c>
    </row>
    <row r="10" spans="1:17">
      <c r="A10" s="461" t="s">
        <v>569</v>
      </c>
      <c r="B10" s="462">
        <f>transport!B54</f>
        <v>0</v>
      </c>
      <c r="C10" s="462">
        <f>transport!C54</f>
        <v>0</v>
      </c>
      <c r="D10" s="462">
        <f>transport!D54</f>
        <v>0</v>
      </c>
      <c r="E10" s="462">
        <f>transport!E54</f>
        <v>0</v>
      </c>
      <c r="F10" s="462">
        <f>transport!F54</f>
        <v>0</v>
      </c>
      <c r="G10" s="462">
        <f>transport!G54</f>
        <v>1305.0668389041164</v>
      </c>
      <c r="H10" s="462">
        <f>transport!H54</f>
        <v>0</v>
      </c>
      <c r="I10" s="462">
        <f>transport!I54</f>
        <v>0</v>
      </c>
      <c r="J10" s="462">
        <f>transport!J54</f>
        <v>0</v>
      </c>
      <c r="K10" s="462">
        <f>transport!K54</f>
        <v>0</v>
      </c>
      <c r="L10" s="462">
        <f>transport!L54</f>
        <v>0</v>
      </c>
      <c r="M10" s="462">
        <f>transport!M54</f>
        <v>57.307637738693167</v>
      </c>
      <c r="N10" s="462">
        <f>transport!N54</f>
        <v>0</v>
      </c>
      <c r="O10" s="462">
        <f>transport!O54</f>
        <v>0</v>
      </c>
      <c r="P10" s="463">
        <f>transport!P54</f>
        <v>0</v>
      </c>
      <c r="Q10" s="461">
        <f t="shared" si="0"/>
        <v>1362.3744766428094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214084.50808150426</v>
      </c>
      <c r="C14" s="472">
        <f t="shared" ref="C14:Q14" ca="1" si="1">SUM(C4:C13)</f>
        <v>0</v>
      </c>
      <c r="D14" s="472">
        <f t="shared" ca="1" si="1"/>
        <v>309047.31317303551</v>
      </c>
      <c r="E14" s="472">
        <f t="shared" si="1"/>
        <v>9704.844643989818</v>
      </c>
      <c r="F14" s="472">
        <f t="shared" ca="1" si="1"/>
        <v>124833.08091421236</v>
      </c>
      <c r="G14" s="472">
        <f t="shared" si="1"/>
        <v>77888.376633639753</v>
      </c>
      <c r="H14" s="472">
        <f t="shared" si="1"/>
        <v>12682.243031058748</v>
      </c>
      <c r="I14" s="472">
        <f t="shared" si="1"/>
        <v>0</v>
      </c>
      <c r="J14" s="472">
        <f t="shared" si="1"/>
        <v>4038.9911037171287</v>
      </c>
      <c r="K14" s="472">
        <f t="shared" si="1"/>
        <v>0</v>
      </c>
      <c r="L14" s="472">
        <f t="shared" ca="1" si="1"/>
        <v>0</v>
      </c>
      <c r="M14" s="472">
        <f t="shared" si="1"/>
        <v>4047.7187016524172</v>
      </c>
      <c r="N14" s="472">
        <f t="shared" ca="1" si="1"/>
        <v>30761.000387099935</v>
      </c>
      <c r="O14" s="472">
        <f t="shared" si="1"/>
        <v>140.70000000000002</v>
      </c>
      <c r="P14" s="473">
        <f t="shared" si="1"/>
        <v>324.13333333333333</v>
      </c>
      <c r="Q14" s="473">
        <f t="shared" ca="1" si="1"/>
        <v>787552.91000324325</v>
      </c>
    </row>
    <row r="16" spans="1:17">
      <c r="A16" s="475" t="s">
        <v>574</v>
      </c>
      <c r="B16" s="829">
        <f ca="1">huishoudens!B10</f>
        <v>0.20927929562124017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7337.3801751611336</v>
      </c>
      <c r="C21" s="462">
        <f t="shared" ref="C21:C30" ca="1" si="3">C4*$C$16</f>
        <v>0</v>
      </c>
      <c r="D21" s="462">
        <f t="shared" ref="D21:D30" si="4">D4*$D$16</f>
        <v>16052.038401668917</v>
      </c>
      <c r="E21" s="462">
        <f t="shared" ref="E21:E30" si="5">E4*$E$16</f>
        <v>1822.8142200527868</v>
      </c>
      <c r="F21" s="462">
        <f t="shared" ref="F21:F30" si="6">F4*$F$16</f>
        <v>4988.0476732872457</v>
      </c>
      <c r="G21" s="462">
        <f t="shared" ref="G21:G30" si="7">G4*$G$16</f>
        <v>0</v>
      </c>
      <c r="H21" s="462">
        <f t="shared" ref="H21:H30" si="8">H4*$H$16</f>
        <v>0</v>
      </c>
      <c r="I21" s="462">
        <f t="shared" ref="I21:I30" si="9">I4*$I$16</f>
        <v>0</v>
      </c>
      <c r="J21" s="462">
        <f t="shared" ref="J21:J30" si="10">J4*$J$16</f>
        <v>799.85682185752307</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31000.137292027608</v>
      </c>
    </row>
    <row r="22" spans="1:17">
      <c r="A22" s="461" t="s">
        <v>156</v>
      </c>
      <c r="B22" s="462">
        <f t="shared" ca="1" si="2"/>
        <v>6494.6294271577381</v>
      </c>
      <c r="C22" s="462">
        <f t="shared" ca="1" si="3"/>
        <v>0</v>
      </c>
      <c r="D22" s="462">
        <f t="shared" ca="1" si="4"/>
        <v>7744.3130820561655</v>
      </c>
      <c r="E22" s="462">
        <f t="shared" si="5"/>
        <v>45.772531338481137</v>
      </c>
      <c r="F22" s="462">
        <f t="shared" ca="1" si="6"/>
        <v>1922.0629026988513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16206.777943251236</v>
      </c>
    </row>
    <row r="23" spans="1:17">
      <c r="A23" s="461" t="s">
        <v>194</v>
      </c>
      <c r="B23" s="462">
        <f t="shared" ca="1" si="2"/>
        <v>364.87008074380742</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364.87008074380742</v>
      </c>
    </row>
    <row r="24" spans="1:17">
      <c r="A24" s="461" t="s">
        <v>112</v>
      </c>
      <c r="B24" s="462">
        <f t="shared" ca="1" si="2"/>
        <v>2537.9517052214696</v>
      </c>
      <c r="C24" s="462">
        <f t="shared" ca="1" si="3"/>
        <v>0</v>
      </c>
      <c r="D24" s="462">
        <f t="shared" si="4"/>
        <v>949.66731805137658</v>
      </c>
      <c r="E24" s="462">
        <f t="shared" si="5"/>
        <v>25.933715243877195</v>
      </c>
      <c r="F24" s="462">
        <f t="shared" si="6"/>
        <v>10566.461926813203</v>
      </c>
      <c r="G24" s="462">
        <f t="shared" si="7"/>
        <v>0</v>
      </c>
      <c r="H24" s="462">
        <f t="shared" si="8"/>
        <v>0</v>
      </c>
      <c r="I24" s="462">
        <f t="shared" si="9"/>
        <v>0</v>
      </c>
      <c r="J24" s="462">
        <f t="shared" si="10"/>
        <v>531.06432357735389</v>
      </c>
      <c r="K24" s="462">
        <f t="shared" si="11"/>
        <v>0</v>
      </c>
      <c r="L24" s="462">
        <f t="shared" si="12"/>
        <v>0</v>
      </c>
      <c r="M24" s="462">
        <f t="shared" si="13"/>
        <v>0</v>
      </c>
      <c r="N24" s="462">
        <f t="shared" si="14"/>
        <v>0</v>
      </c>
      <c r="O24" s="462">
        <f t="shared" si="15"/>
        <v>0</v>
      </c>
      <c r="P24" s="463">
        <f t="shared" si="16"/>
        <v>0</v>
      </c>
      <c r="Q24" s="461">
        <f t="shared" ca="1" si="17"/>
        <v>14611.07898890728</v>
      </c>
    </row>
    <row r="25" spans="1:17">
      <c r="A25" s="461" t="s">
        <v>685</v>
      </c>
      <c r="B25" s="462">
        <f t="shared" ca="1" si="2"/>
        <v>28068.198467468879</v>
      </c>
      <c r="C25" s="462">
        <f t="shared" ca="1" si="3"/>
        <v>0</v>
      </c>
      <c r="D25" s="462">
        <f t="shared" si="4"/>
        <v>37680.384155037187</v>
      </c>
      <c r="E25" s="462">
        <f t="shared" si="5"/>
        <v>233.48046181634953</v>
      </c>
      <c r="F25" s="462">
        <f t="shared" si="6"/>
        <v>15853.8601012954</v>
      </c>
      <c r="G25" s="462">
        <f t="shared" si="7"/>
        <v>0</v>
      </c>
      <c r="H25" s="462">
        <f t="shared" si="8"/>
        <v>0</v>
      </c>
      <c r="I25" s="462">
        <f t="shared" si="9"/>
        <v>0</v>
      </c>
      <c r="J25" s="462">
        <f t="shared" si="10"/>
        <v>98.881705280986608</v>
      </c>
      <c r="K25" s="462">
        <f t="shared" si="11"/>
        <v>0</v>
      </c>
      <c r="L25" s="462">
        <f t="shared" si="12"/>
        <v>0</v>
      </c>
      <c r="M25" s="462">
        <f t="shared" si="13"/>
        <v>0</v>
      </c>
      <c r="N25" s="462">
        <f t="shared" si="14"/>
        <v>0</v>
      </c>
      <c r="O25" s="462">
        <f t="shared" si="15"/>
        <v>0</v>
      </c>
      <c r="P25" s="463">
        <f t="shared" si="16"/>
        <v>0</v>
      </c>
      <c r="Q25" s="461">
        <f t="shared" ca="1" si="17"/>
        <v>81934.804890898813</v>
      </c>
    </row>
    <row r="26" spans="1:17" s="467" customFormat="1">
      <c r="A26" s="465" t="s">
        <v>579</v>
      </c>
      <c r="B26" s="823">
        <f t="shared" ca="1" si="2"/>
        <v>0.42519896387912876</v>
      </c>
      <c r="C26" s="466">
        <f t="shared" ca="1" si="3"/>
        <v>0</v>
      </c>
      <c r="D26" s="466">
        <f t="shared" si="4"/>
        <v>1.1543041395302893</v>
      </c>
      <c r="E26" s="466">
        <f t="shared" si="5"/>
        <v>74.998805734193937</v>
      </c>
      <c r="F26" s="466">
        <f t="shared" si="6"/>
        <v>0</v>
      </c>
      <c r="G26" s="466">
        <f t="shared" si="7"/>
        <v>20447.743715194418</v>
      </c>
      <c r="H26" s="466">
        <f t="shared" si="8"/>
        <v>3157.8785147336284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23682.20053876565</v>
      </c>
    </row>
    <row r="27" spans="1:17">
      <c r="A27" s="461" t="s">
        <v>569</v>
      </c>
      <c r="B27" s="462">
        <f t="shared" ca="1" si="2"/>
        <v>0</v>
      </c>
      <c r="C27" s="462">
        <f t="shared" ca="1" si="3"/>
        <v>0</v>
      </c>
      <c r="D27" s="462">
        <f t="shared" si="4"/>
        <v>0</v>
      </c>
      <c r="E27" s="462">
        <f t="shared" si="5"/>
        <v>0</v>
      </c>
      <c r="F27" s="462">
        <f t="shared" si="6"/>
        <v>0</v>
      </c>
      <c r="G27" s="462">
        <f t="shared" si="7"/>
        <v>348.45284598739909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348.45284598739909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44803.455054716906</v>
      </c>
      <c r="C31" s="472">
        <f t="shared" ca="1" si="18"/>
        <v>0</v>
      </c>
      <c r="D31" s="472">
        <f t="shared" ca="1" si="18"/>
        <v>62427.557260953174</v>
      </c>
      <c r="E31" s="472">
        <f t="shared" si="18"/>
        <v>2202.9997341856883</v>
      </c>
      <c r="F31" s="472">
        <f t="shared" ca="1" si="18"/>
        <v>33330.432604094698</v>
      </c>
      <c r="G31" s="472">
        <f t="shared" si="18"/>
        <v>20796.196561181816</v>
      </c>
      <c r="H31" s="472">
        <f t="shared" si="18"/>
        <v>3157.8785147336284</v>
      </c>
      <c r="I31" s="472">
        <f t="shared" si="18"/>
        <v>0</v>
      </c>
      <c r="J31" s="472">
        <f t="shared" si="18"/>
        <v>1429.8028507158635</v>
      </c>
      <c r="K31" s="472">
        <f t="shared" si="18"/>
        <v>0</v>
      </c>
      <c r="L31" s="472">
        <f t="shared" ca="1" si="18"/>
        <v>0</v>
      </c>
      <c r="M31" s="472">
        <f t="shared" si="18"/>
        <v>0</v>
      </c>
      <c r="N31" s="472">
        <f t="shared" ca="1" si="18"/>
        <v>0</v>
      </c>
      <c r="O31" s="472">
        <f t="shared" si="18"/>
        <v>0</v>
      </c>
      <c r="P31" s="473">
        <f t="shared" si="18"/>
        <v>0</v>
      </c>
      <c r="Q31" s="473">
        <f t="shared" ca="1" si="18"/>
        <v>168148.32258058176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0.20927929562124017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0.20927929562124017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0.20927929562124017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37015</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8302</v>
      </c>
      <c r="C9" s="338">
        <v>8668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5101</v>
      </c>
    </row>
    <row r="15" spans="1:6">
      <c r="A15" s="1205" t="s">
        <v>184</v>
      </c>
      <c r="B15" s="335">
        <v>96</v>
      </c>
    </row>
    <row r="16" spans="1:6">
      <c r="A16" s="1205" t="s">
        <v>6</v>
      </c>
      <c r="B16" s="335">
        <v>3146</v>
      </c>
    </row>
    <row r="17" spans="1:6">
      <c r="A17" s="1205" t="s">
        <v>7</v>
      </c>
      <c r="B17" s="335">
        <v>2671</v>
      </c>
    </row>
    <row r="18" spans="1:6">
      <c r="A18" s="1205" t="s">
        <v>8</v>
      </c>
      <c r="B18" s="335">
        <v>3769</v>
      </c>
    </row>
    <row r="19" spans="1:6">
      <c r="A19" s="1205" t="s">
        <v>9</v>
      </c>
      <c r="B19" s="335">
        <v>3543</v>
      </c>
    </row>
    <row r="20" spans="1:6">
      <c r="A20" s="1205" t="s">
        <v>10</v>
      </c>
      <c r="B20" s="335">
        <v>3005</v>
      </c>
    </row>
    <row r="21" spans="1:6">
      <c r="A21" s="1205" t="s">
        <v>11</v>
      </c>
      <c r="B21" s="335">
        <v>43228</v>
      </c>
    </row>
    <row r="22" spans="1:6">
      <c r="A22" s="1205" t="s">
        <v>12</v>
      </c>
      <c r="B22" s="335">
        <v>111206</v>
      </c>
    </row>
    <row r="23" spans="1:6">
      <c r="A23" s="1205" t="s">
        <v>13</v>
      </c>
      <c r="B23" s="335">
        <v>1743</v>
      </c>
    </row>
    <row r="24" spans="1:6">
      <c r="A24" s="1205" t="s">
        <v>14</v>
      </c>
      <c r="B24" s="335">
        <v>107</v>
      </c>
    </row>
    <row r="25" spans="1:6">
      <c r="A25" s="1205" t="s">
        <v>15</v>
      </c>
      <c r="B25" s="335">
        <v>10576</v>
      </c>
    </row>
    <row r="26" spans="1:6">
      <c r="A26" s="1205" t="s">
        <v>16</v>
      </c>
      <c r="B26" s="335">
        <v>270</v>
      </c>
    </row>
    <row r="27" spans="1:6">
      <c r="A27" s="1205" t="s">
        <v>17</v>
      </c>
      <c r="B27" s="335">
        <v>0</v>
      </c>
    </row>
    <row r="28" spans="1:6" s="341" customFormat="1">
      <c r="A28" s="1206" t="s">
        <v>18</v>
      </c>
      <c r="B28" s="1206">
        <v>574525</v>
      </c>
    </row>
    <row r="29" spans="1:6">
      <c r="A29" s="1206" t="s">
        <v>873</v>
      </c>
      <c r="B29" s="1206">
        <v>189</v>
      </c>
      <c r="C29" s="341"/>
      <c r="D29" s="341"/>
      <c r="E29" s="341"/>
      <c r="F29" s="341"/>
    </row>
    <row r="30" spans="1:6">
      <c r="A30" s="1201" t="s">
        <v>874</v>
      </c>
      <c r="B30" s="1201">
        <v>44</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3</v>
      </c>
      <c r="D36" s="335">
        <v>30800.886510888002</v>
      </c>
      <c r="E36" s="335">
        <v>8</v>
      </c>
      <c r="F36" s="335">
        <v>49411.519922250402</v>
      </c>
    </row>
    <row r="37" spans="1:6">
      <c r="A37" s="1205" t="s">
        <v>25</v>
      </c>
      <c r="B37" s="1205" t="s">
        <v>28</v>
      </c>
      <c r="C37" s="335">
        <v>0</v>
      </c>
      <c r="D37" s="335">
        <v>0</v>
      </c>
      <c r="E37" s="335">
        <v>0</v>
      </c>
      <c r="F37" s="335">
        <v>0</v>
      </c>
    </row>
    <row r="38" spans="1:6">
      <c r="A38" s="1205" t="s">
        <v>25</v>
      </c>
      <c r="B38" s="1205" t="s">
        <v>29</v>
      </c>
      <c r="C38" s="335">
        <v>0</v>
      </c>
      <c r="D38" s="335">
        <v>0</v>
      </c>
      <c r="E38" s="335">
        <v>1</v>
      </c>
      <c r="F38" s="335">
        <v>29066.378893616999</v>
      </c>
    </row>
    <row r="39" spans="1:6">
      <c r="A39" s="1205" t="s">
        <v>30</v>
      </c>
      <c r="B39" s="1205" t="s">
        <v>31</v>
      </c>
      <c r="C39" s="335">
        <v>5284</v>
      </c>
      <c r="D39" s="335">
        <v>88099264.569762006</v>
      </c>
      <c r="E39" s="335">
        <v>7755</v>
      </c>
      <c r="F39" s="335">
        <v>31839759.533032</v>
      </c>
    </row>
    <row r="40" spans="1:6">
      <c r="A40" s="1205" t="s">
        <v>30</v>
      </c>
      <c r="B40" s="1205" t="s">
        <v>29</v>
      </c>
      <c r="C40" s="335">
        <v>0</v>
      </c>
      <c r="D40" s="335">
        <v>0</v>
      </c>
      <c r="E40" s="335">
        <v>0</v>
      </c>
      <c r="F40" s="335">
        <v>0</v>
      </c>
    </row>
    <row r="41" spans="1:6">
      <c r="A41" s="1205" t="s">
        <v>32</v>
      </c>
      <c r="B41" s="1205" t="s">
        <v>33</v>
      </c>
      <c r="C41" s="335">
        <v>97</v>
      </c>
      <c r="D41" s="335">
        <v>7341134.7269766601</v>
      </c>
      <c r="E41" s="335">
        <v>229</v>
      </c>
      <c r="F41" s="335">
        <v>59089488.824394099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3</v>
      </c>
      <c r="D44" s="335">
        <v>62184.494828339302</v>
      </c>
      <c r="E44" s="335">
        <v>39</v>
      </c>
      <c r="F44" s="335">
        <v>1044927.41917545</v>
      </c>
    </row>
    <row r="45" spans="1:6">
      <c r="A45" s="1205" t="s">
        <v>32</v>
      </c>
      <c r="B45" s="1205" t="s">
        <v>37</v>
      </c>
      <c r="C45" s="335">
        <v>0</v>
      </c>
      <c r="D45" s="335">
        <v>0</v>
      </c>
      <c r="E45" s="335">
        <v>7</v>
      </c>
      <c r="F45" s="335">
        <v>396436.752572892</v>
      </c>
    </row>
    <row r="46" spans="1:6">
      <c r="A46" s="1205" t="s">
        <v>32</v>
      </c>
      <c r="B46" s="1205" t="s">
        <v>38</v>
      </c>
      <c r="C46" s="335">
        <v>0</v>
      </c>
      <c r="D46" s="335">
        <v>0</v>
      </c>
      <c r="E46" s="335">
        <v>0</v>
      </c>
      <c r="F46" s="335">
        <v>0</v>
      </c>
    </row>
    <row r="47" spans="1:6">
      <c r="A47" s="1205" t="s">
        <v>32</v>
      </c>
      <c r="B47" s="1205" t="s">
        <v>39</v>
      </c>
      <c r="C47" s="335">
        <v>3</v>
      </c>
      <c r="D47" s="335">
        <v>1045471.2794031301</v>
      </c>
      <c r="E47" s="335">
        <v>3</v>
      </c>
      <c r="F47" s="335">
        <v>1367903.7973902801</v>
      </c>
    </row>
    <row r="48" spans="1:6">
      <c r="A48" s="1205" t="s">
        <v>32</v>
      </c>
      <c r="B48" s="1205" t="s">
        <v>29</v>
      </c>
      <c r="C48" s="335">
        <v>32</v>
      </c>
      <c r="D48" s="335">
        <v>157515202.698338</v>
      </c>
      <c r="E48" s="335">
        <v>36</v>
      </c>
      <c r="F48" s="335">
        <v>50493817.078907803</v>
      </c>
    </row>
    <row r="49" spans="1:6">
      <c r="A49" s="1205" t="s">
        <v>32</v>
      </c>
      <c r="B49" s="1205" t="s">
        <v>40</v>
      </c>
      <c r="C49" s="335">
        <v>12</v>
      </c>
      <c r="D49" s="335">
        <v>38318232.898918003</v>
      </c>
      <c r="E49" s="335">
        <v>19</v>
      </c>
      <c r="F49" s="335">
        <v>5897009.7255102703</v>
      </c>
    </row>
    <row r="50" spans="1:6">
      <c r="A50" s="1205" t="s">
        <v>32</v>
      </c>
      <c r="B50" s="1205" t="s">
        <v>41</v>
      </c>
      <c r="C50" s="335">
        <v>12</v>
      </c>
      <c r="D50" s="335">
        <v>2521050.2019309499</v>
      </c>
      <c r="E50" s="335">
        <v>17</v>
      </c>
      <c r="F50" s="335">
        <v>15828788.619182101</v>
      </c>
    </row>
    <row r="51" spans="1:6">
      <c r="A51" s="1205" t="s">
        <v>42</v>
      </c>
      <c r="B51" s="1205" t="s">
        <v>43</v>
      </c>
      <c r="C51" s="335">
        <v>12</v>
      </c>
      <c r="D51" s="335">
        <v>328721.85163041099</v>
      </c>
      <c r="E51" s="335">
        <v>341</v>
      </c>
      <c r="F51" s="335">
        <v>12022434.708832899</v>
      </c>
    </row>
    <row r="52" spans="1:6">
      <c r="A52" s="1205" t="s">
        <v>42</v>
      </c>
      <c r="B52" s="1205" t="s">
        <v>29</v>
      </c>
      <c r="C52" s="335">
        <v>7</v>
      </c>
      <c r="D52" s="335">
        <v>290908.68294996</v>
      </c>
      <c r="E52" s="335">
        <v>7</v>
      </c>
      <c r="F52" s="335">
        <v>104668.91930014599</v>
      </c>
    </row>
    <row r="53" spans="1:6">
      <c r="A53" s="1205" t="s">
        <v>44</v>
      </c>
      <c r="B53" s="1205" t="s">
        <v>45</v>
      </c>
      <c r="C53" s="335">
        <v>142</v>
      </c>
      <c r="D53" s="335">
        <v>4592479.6169606298</v>
      </c>
      <c r="E53" s="335">
        <v>262</v>
      </c>
      <c r="F53" s="335">
        <v>1590743.4927902401</v>
      </c>
    </row>
    <row r="54" spans="1:6">
      <c r="A54" s="1205" t="s">
        <v>46</v>
      </c>
      <c r="B54" s="1205" t="s">
        <v>47</v>
      </c>
      <c r="C54" s="335">
        <v>0</v>
      </c>
      <c r="D54" s="335">
        <v>0</v>
      </c>
      <c r="E54" s="335">
        <v>2</v>
      </c>
      <c r="F54" s="335">
        <v>1743460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71</v>
      </c>
      <c r="D57" s="335">
        <v>6471722.2044799197</v>
      </c>
      <c r="E57" s="335">
        <v>154</v>
      </c>
      <c r="F57" s="335">
        <v>4815745.2705711396</v>
      </c>
    </row>
    <row r="58" spans="1:6">
      <c r="A58" s="1205" t="s">
        <v>49</v>
      </c>
      <c r="B58" s="1205" t="s">
        <v>51</v>
      </c>
      <c r="C58" s="335">
        <v>36</v>
      </c>
      <c r="D58" s="335">
        <v>7839693.9397869604</v>
      </c>
      <c r="E58" s="335">
        <v>62</v>
      </c>
      <c r="F58" s="335">
        <v>4084480.6021829098</v>
      </c>
    </row>
    <row r="59" spans="1:6">
      <c r="A59" s="1205" t="s">
        <v>49</v>
      </c>
      <c r="B59" s="1205" t="s">
        <v>52</v>
      </c>
      <c r="C59" s="335">
        <v>153</v>
      </c>
      <c r="D59" s="335">
        <v>7322652.6378688104</v>
      </c>
      <c r="E59" s="335">
        <v>353</v>
      </c>
      <c r="F59" s="335">
        <v>11734678.0421864</v>
      </c>
    </row>
    <row r="60" spans="1:6">
      <c r="A60" s="1205" t="s">
        <v>49</v>
      </c>
      <c r="B60" s="1205" t="s">
        <v>53</v>
      </c>
      <c r="C60" s="335">
        <v>51</v>
      </c>
      <c r="D60" s="335">
        <v>1780956.8676615199</v>
      </c>
      <c r="E60" s="335">
        <v>72</v>
      </c>
      <c r="F60" s="335">
        <v>1308954.1067498301</v>
      </c>
    </row>
    <row r="61" spans="1:6">
      <c r="A61" s="1205" t="s">
        <v>49</v>
      </c>
      <c r="B61" s="1205" t="s">
        <v>54</v>
      </c>
      <c r="C61" s="335">
        <v>230</v>
      </c>
      <c r="D61" s="335">
        <v>9056531.9222228508</v>
      </c>
      <c r="E61" s="335">
        <v>412</v>
      </c>
      <c r="F61" s="335">
        <v>5435582.82510274</v>
      </c>
    </row>
    <row r="62" spans="1:6">
      <c r="A62" s="1205" t="s">
        <v>49</v>
      </c>
      <c r="B62" s="1205" t="s">
        <v>55</v>
      </c>
      <c r="C62" s="335">
        <v>11</v>
      </c>
      <c r="D62" s="335">
        <v>4854468.5595120098</v>
      </c>
      <c r="E62" s="335">
        <v>18</v>
      </c>
      <c r="F62" s="335">
        <v>1671710.04893911</v>
      </c>
    </row>
    <row r="63" spans="1:6">
      <c r="A63" s="1205" t="s">
        <v>49</v>
      </c>
      <c r="B63" s="1205" t="s">
        <v>29</v>
      </c>
      <c r="C63" s="335">
        <v>102</v>
      </c>
      <c r="D63" s="335">
        <v>5177503.3302589096</v>
      </c>
      <c r="E63" s="335">
        <v>92</v>
      </c>
      <c r="F63" s="335">
        <v>1982159.91448729</v>
      </c>
    </row>
    <row r="64" spans="1:6">
      <c r="A64" s="1205" t="s">
        <v>56</v>
      </c>
      <c r="B64" s="1205" t="s">
        <v>57</v>
      </c>
      <c r="C64" s="335">
        <v>0</v>
      </c>
      <c r="D64" s="335">
        <v>0</v>
      </c>
      <c r="E64" s="335">
        <v>0</v>
      </c>
      <c r="F64" s="335">
        <v>0</v>
      </c>
    </row>
    <row r="65" spans="1:6">
      <c r="A65" s="1205" t="s">
        <v>56</v>
      </c>
      <c r="B65" s="1205" t="s">
        <v>29</v>
      </c>
      <c r="C65" s="335">
        <v>4</v>
      </c>
      <c r="D65" s="335">
        <v>92089.971260134698</v>
      </c>
      <c r="E65" s="335">
        <v>4</v>
      </c>
      <c r="F65" s="335">
        <v>46582.415917682898</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171906.31245584899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78114593</v>
      </c>
      <c r="E73" s="335">
        <v>75280106.597118407</v>
      </c>
    </row>
    <row r="74" spans="1:6">
      <c r="A74" s="1205" t="s">
        <v>64</v>
      </c>
      <c r="B74" s="1205" t="s">
        <v>772</v>
      </c>
      <c r="C74" s="1216" t="s">
        <v>766</v>
      </c>
      <c r="D74" s="335">
        <v>9595265.2786784098</v>
      </c>
      <c r="E74" s="335">
        <v>9145985.0737214386</v>
      </c>
    </row>
    <row r="75" spans="1:6">
      <c r="A75" s="1205" t="s">
        <v>65</v>
      </c>
      <c r="B75" s="1205" t="s">
        <v>771</v>
      </c>
      <c r="C75" s="1216" t="s">
        <v>767</v>
      </c>
      <c r="D75" s="335">
        <v>18450376</v>
      </c>
      <c r="E75" s="335">
        <v>17137319.56698969</v>
      </c>
    </row>
    <row r="76" spans="1:6">
      <c r="A76" s="1205" t="s">
        <v>65</v>
      </c>
      <c r="B76" s="1205" t="s">
        <v>772</v>
      </c>
      <c r="C76" s="1216" t="s">
        <v>768</v>
      </c>
      <c r="D76" s="335">
        <v>1334918.27867841</v>
      </c>
      <c r="E76" s="335">
        <v>1321630.4673316048</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358445.44264317985</v>
      </c>
      <c r="C83" s="335">
        <v>338318.13462504046</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3220.4701632707829</v>
      </c>
    </row>
    <row r="92" spans="1:6">
      <c r="A92" s="1201" t="s">
        <v>69</v>
      </c>
      <c r="B92" s="338">
        <v>8133.4720597859068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3670</v>
      </c>
    </row>
    <row r="98" spans="1:6">
      <c r="A98" s="1205" t="s">
        <v>72</v>
      </c>
      <c r="B98" s="335">
        <v>1</v>
      </c>
    </row>
    <row r="99" spans="1:6">
      <c r="A99" s="1205" t="s">
        <v>73</v>
      </c>
      <c r="B99" s="335">
        <v>172</v>
      </c>
    </row>
    <row r="100" spans="1:6">
      <c r="A100" s="1205" t="s">
        <v>74</v>
      </c>
      <c r="B100" s="335">
        <v>626</v>
      </c>
    </row>
    <row r="101" spans="1:6">
      <c r="A101" s="1205" t="s">
        <v>75</v>
      </c>
      <c r="B101" s="335">
        <v>138</v>
      </c>
    </row>
    <row r="102" spans="1:6">
      <c r="A102" s="1205" t="s">
        <v>76</v>
      </c>
      <c r="B102" s="335">
        <v>138</v>
      </c>
    </row>
    <row r="103" spans="1:6">
      <c r="A103" s="1205" t="s">
        <v>77</v>
      </c>
      <c r="B103" s="335">
        <v>233</v>
      </c>
    </row>
    <row r="104" spans="1:6">
      <c r="A104" s="1205" t="s">
        <v>78</v>
      </c>
      <c r="B104" s="335">
        <v>2399</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12</v>
      </c>
      <c r="C123" s="335">
        <v>7</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83</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214084.50808150423</v>
      </c>
      <c r="C3" s="44" t="s">
        <v>170</v>
      </c>
      <c r="D3" s="44"/>
      <c r="E3" s="157"/>
      <c r="F3" s="44"/>
      <c r="G3" s="44"/>
      <c r="H3" s="44"/>
      <c r="I3" s="44"/>
      <c r="J3" s="44"/>
      <c r="K3" s="97"/>
    </row>
    <row r="4" spans="1:11">
      <c r="A4" s="365" t="s">
        <v>171</v>
      </c>
      <c r="B4" s="50">
        <f>IF(ISERROR('SEAP template'!B69),0,'SEAP template'!B69)</f>
        <v>11353.942223056689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0.20927929562124017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1743.46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1743.46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0.20927929562124017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364.87008074380742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31839.759533032</v>
      </c>
      <c r="C5" s="18">
        <f>IF(ISERROR('Eigen informatie GS &amp; warmtenet'!B57),0,'Eigen informatie GS &amp; warmtenet'!B57)</f>
        <v>0</v>
      </c>
      <c r="D5" s="31">
        <f>(SUM(HH_hh_gas_kWh,HH_rest_gas_kWh)/1000)*0.902</f>
        <v>79465.536641925326</v>
      </c>
      <c r="E5" s="18">
        <f>B46*B57</f>
        <v>8030.0185905409107</v>
      </c>
      <c r="F5" s="18">
        <f>B51*B62</f>
        <v>18681.826491712531</v>
      </c>
      <c r="G5" s="19"/>
      <c r="H5" s="18"/>
      <c r="I5" s="18"/>
      <c r="J5" s="18">
        <f>B50*B61+C50*C61</f>
        <v>2259.4825476201217</v>
      </c>
      <c r="K5" s="18"/>
      <c r="L5" s="18"/>
      <c r="M5" s="18"/>
      <c r="N5" s="18">
        <f>B48*B59+C48*C59</f>
        <v>20922.907002786826</v>
      </c>
      <c r="O5" s="18">
        <f>B69*B70*B71</f>
        <v>140.70000000000002</v>
      </c>
      <c r="P5" s="18">
        <f>B77*B78*B79/1000-B77*B78*B79/1000/B80</f>
        <v>324.13333333333333</v>
      </c>
    </row>
    <row r="6" spans="1:16">
      <c r="A6" s="17" t="s">
        <v>639</v>
      </c>
      <c r="B6" s="831">
        <f>kWh_PV_kleiner_dan_10kW</f>
        <v>3220.4701632707829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35060.229696302784</v>
      </c>
      <c r="C8" s="22">
        <f>C5</f>
        <v>0</v>
      </c>
      <c r="D8" s="22">
        <f>D5</f>
        <v>79465.536641925326</v>
      </c>
      <c r="E8" s="22">
        <f>E5</f>
        <v>8030.0185905409107</v>
      </c>
      <c r="F8" s="22">
        <f>F5</f>
        <v>18681.826491712531</v>
      </c>
      <c r="G8" s="22"/>
      <c r="H8" s="22"/>
      <c r="I8" s="22"/>
      <c r="J8" s="22">
        <f>J5</f>
        <v>2259.4825476201217</v>
      </c>
      <c r="K8" s="22"/>
      <c r="L8" s="22">
        <f>L5</f>
        <v>0</v>
      </c>
      <c r="M8" s="22">
        <f>M5</f>
        <v>0</v>
      </c>
      <c r="N8" s="22">
        <f>N5</f>
        <v>20922.907002786826</v>
      </c>
      <c r="O8" s="22">
        <f>O5</f>
        <v>140.70000000000002</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0.20927929562124017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7337.3801751611336</v>
      </c>
      <c r="C12" s="24">
        <f ca="1">C10*C8</f>
        <v>0</v>
      </c>
      <c r="D12" s="24">
        <f>D8*D10</f>
        <v>16052.038401668917</v>
      </c>
      <c r="E12" s="24">
        <f>E10*E8</f>
        <v>1822.8142200527868</v>
      </c>
      <c r="F12" s="24">
        <f>F10*F8</f>
        <v>4988.0476732872457</v>
      </c>
      <c r="G12" s="24"/>
      <c r="H12" s="24"/>
      <c r="I12" s="24"/>
      <c r="J12" s="24">
        <f>J10*J8</f>
        <v>799.85682185752307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3670</v>
      </c>
      <c r="C18" s="169" t="s">
        <v>111</v>
      </c>
      <c r="D18" s="231"/>
      <c r="E18" s="16"/>
    </row>
    <row r="19" spans="1:7">
      <c r="A19" s="174" t="s">
        <v>72</v>
      </c>
      <c r="B19" s="38">
        <f>aantalw2001_ander</f>
        <v>1</v>
      </c>
      <c r="C19" s="169" t="s">
        <v>111</v>
      </c>
      <c r="D19" s="232"/>
      <c r="E19" s="16"/>
    </row>
    <row r="20" spans="1:7">
      <c r="A20" s="174" t="s">
        <v>73</v>
      </c>
      <c r="B20" s="38">
        <f>aantalw2001_propaan</f>
        <v>172</v>
      </c>
      <c r="C20" s="170">
        <f>IF(ISERROR(B20/SUM($B$20,$B$21,$B$22)*100),0,B20/SUM($B$20,$B$21,$B$22)*100)</f>
        <v>18.376068376068378</v>
      </c>
      <c r="D20" s="232"/>
      <c r="E20" s="16"/>
    </row>
    <row r="21" spans="1:7">
      <c r="A21" s="174" t="s">
        <v>74</v>
      </c>
      <c r="B21" s="38">
        <f>aantalw2001_elektriciteit</f>
        <v>626</v>
      </c>
      <c r="C21" s="170">
        <f>IF(ISERROR(B21/SUM($B$20,$B$21,$B$22)*100),0,B21/SUM($B$20,$B$21,$B$22)*100)</f>
        <v>66.880341880341874</v>
      </c>
      <c r="D21" s="232"/>
      <c r="E21" s="16"/>
    </row>
    <row r="22" spans="1:7">
      <c r="A22" s="174" t="s">
        <v>75</v>
      </c>
      <c r="B22" s="38">
        <f>aantalw2001_hout</f>
        <v>138</v>
      </c>
      <c r="C22" s="170">
        <f>IF(ISERROR(B22/SUM($B$20,$B$21,$B$22)*100),0,B22/SUM($B$20,$B$21,$B$22)*100)</f>
        <v>14.743589743589745</v>
      </c>
      <c r="D22" s="232"/>
      <c r="E22" s="16"/>
    </row>
    <row r="23" spans="1:7">
      <c r="A23" s="174" t="s">
        <v>76</v>
      </c>
      <c r="B23" s="38">
        <f>aantalw2001_niet_gespec</f>
        <v>138</v>
      </c>
      <c r="C23" s="169" t="s">
        <v>111</v>
      </c>
      <c r="D23" s="231"/>
      <c r="E23" s="16"/>
    </row>
    <row r="24" spans="1:7">
      <c r="A24" s="174" t="s">
        <v>77</v>
      </c>
      <c r="B24" s="38">
        <f>aantalw2001_steenkool</f>
        <v>233</v>
      </c>
      <c r="C24" s="169" t="s">
        <v>111</v>
      </c>
      <c r="D24" s="232"/>
      <c r="E24" s="16"/>
    </row>
    <row r="25" spans="1:7">
      <c r="A25" s="174" t="s">
        <v>78</v>
      </c>
      <c r="B25" s="38">
        <f>aantalw2001_stookolie</f>
        <v>2399</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8302</v>
      </c>
      <c r="C28" s="37"/>
      <c r="D28" s="231"/>
    </row>
    <row r="29" spans="1:7" s="16" customFormat="1">
      <c r="A29" s="233" t="s">
        <v>666</v>
      </c>
      <c r="B29" s="38">
        <f>SUM(HH_hh_gas_aantal,HH_rest_gas_aantal)</f>
        <v>5284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5284</v>
      </c>
      <c r="C32" s="170">
        <f>IF(ISERROR(B32/SUM($B$32,$B$34,$B$35,$B$36,$B$38,$B$39)*100),0,B32/SUM($B$32,$B$34,$B$35,$B$36,$B$38,$B$39)*100)</f>
        <v>63.777911888955941</v>
      </c>
      <c r="D32" s="236"/>
      <c r="G32" s="16"/>
    </row>
    <row r="33" spans="1:7">
      <c r="A33" s="174" t="s">
        <v>72</v>
      </c>
      <c r="B33" s="35" t="s">
        <v>111</v>
      </c>
      <c r="C33" s="170"/>
      <c r="D33" s="236"/>
      <c r="G33" s="16"/>
    </row>
    <row r="34" spans="1:7">
      <c r="A34" s="174" t="s">
        <v>73</v>
      </c>
      <c r="B34" s="34">
        <f>IF((($B$28-$B$32-$B$39-$B$77-$B$38)*C20/100)&lt;0,0,($B$28-$B$32-$B$39-$B$77-$B$38)*C20/100)</f>
        <v>364.39743589743603</v>
      </c>
      <c r="C34" s="170">
        <f>IF(ISERROR(B34/SUM($B$32,$B$34,$B$35,$B$36,$B$38,$B$39)*100),0,B34/SUM($B$32,$B$34,$B$35,$B$36,$B$38,$B$39)*100)</f>
        <v>4.3982792504216777</v>
      </c>
      <c r="D34" s="236"/>
      <c r="G34" s="16"/>
    </row>
    <row r="35" spans="1:7">
      <c r="A35" s="174" t="s">
        <v>74</v>
      </c>
      <c r="B35" s="34">
        <f>IF((($B$28-$B$32-$B$39-$B$77-$B$38)*C21/100)&lt;0,0,($B$28-$B$32-$B$39-$B$77-$B$38)*C21/100)</f>
        <v>1326.2371794871797</v>
      </c>
      <c r="C35" s="170">
        <f>IF(ISERROR(B35/SUM($B$32,$B$34,$B$35,$B$36,$B$38,$B$39)*100),0,B35/SUM($B$32,$B$34,$B$35,$B$36,$B$38,$B$39)*100)</f>
        <v>16.007690760255638</v>
      </c>
      <c r="D35" s="236"/>
      <c r="G35" s="16"/>
    </row>
    <row r="36" spans="1:7">
      <c r="A36" s="174" t="s">
        <v>75</v>
      </c>
      <c r="B36" s="34">
        <f>IF((($B$28-$B$32-$B$39-$B$77-$B$38)*C22/100)&lt;0,0,($B$28-$B$32-$B$39-$B$77-$B$38)*C22/100)</f>
        <v>292.3653846153847</v>
      </c>
      <c r="C36" s="170">
        <f>IF(ISERROR(B36/SUM($B$32,$B$34,$B$35,$B$36,$B$38,$B$39)*100),0,B36/SUM($B$32,$B$34,$B$35,$B$36,$B$38,$B$39)*100)</f>
        <v>3.5288519567336718</v>
      </c>
      <c r="D36" s="236"/>
      <c r="G36" s="16"/>
    </row>
    <row r="37" spans="1:7">
      <c r="A37" s="174" t="s">
        <v>76</v>
      </c>
      <c r="B37" s="35" t="s">
        <v>111</v>
      </c>
      <c r="C37" s="170"/>
      <c r="D37" s="176"/>
      <c r="G37" s="16"/>
    </row>
    <row r="38" spans="1:7">
      <c r="A38" s="174" t="s">
        <v>77</v>
      </c>
      <c r="B38" s="34">
        <f>IF((B24-(B29-B18)*0.1)&lt;0,0,B24-(B29-B18)*0.1)</f>
        <v>71.599999999999994</v>
      </c>
      <c r="C38" s="170">
        <f>IF(ISERROR(B38/SUM($B$32,$B$34,$B$35,$B$36,$B$38,$B$39)*100),0,B38/SUM($B$32,$B$34,$B$35,$B$36,$B$38,$B$39)*100)</f>
        <v>0.86421243210621601</v>
      </c>
      <c r="D38" s="237"/>
      <c r="G38" s="16"/>
    </row>
    <row r="39" spans="1:7">
      <c r="A39" s="174" t="s">
        <v>78</v>
      </c>
      <c r="B39" s="34">
        <f>IF((B25-(B29-B18))&lt;0,0,B25-(B29-B18)*0.9)</f>
        <v>946.39999999999986</v>
      </c>
      <c r="C39" s="170">
        <f>IF(ISERROR(B39/SUM($B$32,$B$34,$B$35,$B$36,$B$38,$B$39)*100),0,B39/SUM($B$32,$B$34,$B$35,$B$36,$B$38,$B$39)*100)</f>
        <v>11.423053711526855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5284</v>
      </c>
      <c r="C44" s="35" t="s">
        <v>111</v>
      </c>
      <c r="D44" s="177"/>
    </row>
    <row r="45" spans="1:7">
      <c r="A45" s="174" t="s">
        <v>72</v>
      </c>
      <c r="B45" s="34" t="str">
        <f t="shared" si="0"/>
        <v>-</v>
      </c>
      <c r="C45" s="35" t="s">
        <v>111</v>
      </c>
      <c r="D45" s="177"/>
    </row>
    <row r="46" spans="1:7">
      <c r="A46" s="174" t="s">
        <v>73</v>
      </c>
      <c r="B46" s="34">
        <f t="shared" si="0"/>
        <v>364.39743589743603</v>
      </c>
      <c r="C46" s="35" t="s">
        <v>111</v>
      </c>
      <c r="D46" s="177"/>
    </row>
    <row r="47" spans="1:7">
      <c r="A47" s="174" t="s">
        <v>74</v>
      </c>
      <c r="B47" s="34">
        <f t="shared" si="0"/>
        <v>1326.2371794871797</v>
      </c>
      <c r="C47" s="35" t="s">
        <v>111</v>
      </c>
      <c r="D47" s="177"/>
    </row>
    <row r="48" spans="1:7">
      <c r="A48" s="174" t="s">
        <v>75</v>
      </c>
      <c r="B48" s="34">
        <f t="shared" si="0"/>
        <v>292.3653846153847</v>
      </c>
      <c r="C48" s="34">
        <f>B48*10</f>
        <v>2923.6538461538471</v>
      </c>
      <c r="D48" s="237"/>
    </row>
    <row r="49" spans="1:6">
      <c r="A49" s="174" t="s">
        <v>76</v>
      </c>
      <c r="B49" s="34" t="str">
        <f t="shared" si="0"/>
        <v>-</v>
      </c>
      <c r="C49" s="35" t="s">
        <v>111</v>
      </c>
      <c r="D49" s="237"/>
    </row>
    <row r="50" spans="1:6">
      <c r="A50" s="174" t="s">
        <v>77</v>
      </c>
      <c r="B50" s="34">
        <f t="shared" si="0"/>
        <v>71.599999999999994</v>
      </c>
      <c r="C50" s="34">
        <f>B50*2</f>
        <v>143.19999999999999</v>
      </c>
      <c r="D50" s="237"/>
    </row>
    <row r="51" spans="1:6">
      <c r="A51" s="174" t="s">
        <v>78</v>
      </c>
      <c r="B51" s="34">
        <f t="shared" si="0"/>
        <v>946.39999999999986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31033.31081021942</v>
      </c>
      <c r="C5" s="18">
        <f>IF(ISERROR('Eigen informatie GS &amp; warmtenet'!B58),0,'Eigen informatie GS &amp; warmtenet'!B58)</f>
        <v>0</v>
      </c>
      <c r="D5" s="31">
        <f>SUM(D6:D12)</f>
        <v>38338.183574535469</v>
      </c>
      <c r="E5" s="18">
        <f>SUM(E6:E12)</f>
        <v>201.64110721797857</v>
      </c>
      <c r="F5" s="18">
        <f>SUM(F6:F12)</f>
        <v>7198.7374632915771</v>
      </c>
      <c r="G5" s="19"/>
      <c r="H5" s="18"/>
      <c r="I5" s="18"/>
      <c r="J5" s="18">
        <f>SUM(J6:J12)</f>
        <v>0</v>
      </c>
      <c r="K5" s="18"/>
      <c r="L5" s="18"/>
      <c r="M5" s="18"/>
      <c r="N5" s="18">
        <f>SUM(N6:N12)</f>
        <v>3008.6456853867085</v>
      </c>
      <c r="O5" s="18">
        <f>B38*B39*B40</f>
        <v>0</v>
      </c>
      <c r="P5" s="18">
        <f>B46*B47*B48/1000-B46*B47*B48/1000/B49</f>
        <v>0</v>
      </c>
      <c r="R5" s="33"/>
    </row>
    <row r="6" spans="1:18">
      <c r="A6" s="33" t="s">
        <v>54</v>
      </c>
      <c r="B6" s="38">
        <f>B26</f>
        <v>5435.5828251027397</v>
      </c>
      <c r="C6" s="34"/>
      <c r="D6" s="38">
        <f>IF(ISERROR(TER_kantoor_gas_kWh/1000),0,TER_kantoor_gas_kWh/1000)*0.902</f>
        <v>8168.9917938450108</v>
      </c>
      <c r="E6" s="34">
        <f>$C$26*'E Balans VL '!I12/100/3.6*1000000</f>
        <v>8.9208930773573716</v>
      </c>
      <c r="F6" s="34">
        <f>$C$26*('E Balans VL '!L12+'E Balans VL '!N12)/100/3.6*1000000</f>
        <v>640.72732276087231</v>
      </c>
      <c r="G6" s="35"/>
      <c r="H6" s="34"/>
      <c r="I6" s="34"/>
      <c r="J6" s="34">
        <f>$C$26*('E Balans VL '!D12+'E Balans VL '!E12)/100/3.6*1000000</f>
        <v>0</v>
      </c>
      <c r="K6" s="34"/>
      <c r="L6" s="34"/>
      <c r="M6" s="34"/>
      <c r="N6" s="34">
        <f>$C$26*'E Balans VL '!Y12/100/3.6*1000000</f>
        <v>1.0982337702200982</v>
      </c>
      <c r="O6" s="34"/>
      <c r="P6" s="34"/>
      <c r="R6" s="33"/>
    </row>
    <row r="7" spans="1:18">
      <c r="A7" s="33" t="s">
        <v>53</v>
      </c>
      <c r="B7" s="38">
        <f t="shared" ref="B7:B12" si="0">B27</f>
        <v>1308.9541067498301</v>
      </c>
      <c r="C7" s="34"/>
      <c r="D7" s="38">
        <f>IF(ISERROR(TER_horeca_gas_kWh/1000),0,TER_horeca_gas_kWh/1000)*0.902</f>
        <v>1606.4230946306911</v>
      </c>
      <c r="E7" s="34">
        <f>$C$27*'E Balans VL '!I9/100/3.6*1000000</f>
        <v>67.925246345710875</v>
      </c>
      <c r="F7" s="34">
        <f>$C$27*('E Balans VL '!L9+'E Balans VL '!N9)/100/3.6*1000000</f>
        <v>298.70427694211844</v>
      </c>
      <c r="G7" s="35"/>
      <c r="H7" s="34"/>
      <c r="I7" s="34"/>
      <c r="J7" s="34">
        <f>$C$27*('E Balans VL '!D9+'E Balans VL '!E9)/100/3.6*1000000</f>
        <v>0</v>
      </c>
      <c r="K7" s="34"/>
      <c r="L7" s="34"/>
      <c r="M7" s="34"/>
      <c r="N7" s="34">
        <f>$C$27*'E Balans VL '!Y9/100/3.6*1000000</f>
        <v>0.13822495381839256</v>
      </c>
      <c r="O7" s="34"/>
      <c r="P7" s="34"/>
      <c r="R7" s="33"/>
    </row>
    <row r="8" spans="1:18">
      <c r="A8" s="6" t="s">
        <v>52</v>
      </c>
      <c r="B8" s="38">
        <f t="shared" si="0"/>
        <v>11734.6780421864</v>
      </c>
      <c r="C8" s="34"/>
      <c r="D8" s="38">
        <f>IF(ISERROR(TER_handel_gas_kWh/1000),0,TER_handel_gas_kWh/1000)*0.902</f>
        <v>6605.0326793576669</v>
      </c>
      <c r="E8" s="34">
        <f>$C$28*'E Balans VL '!I13/100/3.6*1000000</f>
        <v>63.192683257447797</v>
      </c>
      <c r="F8" s="34">
        <f>$C$28*('E Balans VL '!L13+'E Balans VL '!N13)/100/3.6*1000000</f>
        <v>2393.0495760248486</v>
      </c>
      <c r="G8" s="35"/>
      <c r="H8" s="34"/>
      <c r="I8" s="34"/>
      <c r="J8" s="34">
        <f>$C$28*('E Balans VL '!D13+'E Balans VL '!E13)/100/3.6*1000000</f>
        <v>0</v>
      </c>
      <c r="K8" s="34"/>
      <c r="L8" s="34"/>
      <c r="M8" s="34"/>
      <c r="N8" s="34">
        <f>$C$28*'E Balans VL '!Y13/100/3.6*1000000</f>
        <v>58.350356997863834</v>
      </c>
      <c r="O8" s="34"/>
      <c r="P8" s="34"/>
      <c r="R8" s="33"/>
    </row>
    <row r="9" spans="1:18">
      <c r="A9" s="33" t="s">
        <v>51</v>
      </c>
      <c r="B9" s="38">
        <f t="shared" si="0"/>
        <v>4084.4806021829099</v>
      </c>
      <c r="C9" s="34"/>
      <c r="D9" s="38">
        <f>IF(ISERROR(TER_gezond_gas_kWh/1000),0,TER_gezond_gas_kWh/1000)*0.902</f>
        <v>7071.4039336878386</v>
      </c>
      <c r="E9" s="34">
        <f>$C$29*'E Balans VL '!I10/100/3.6*1000000</f>
        <v>4.0477667252844389</v>
      </c>
      <c r="F9" s="34">
        <f>$C$29*('E Balans VL '!L10+'E Balans VL '!N10)/100/3.6*1000000</f>
        <v>1417.197038320772</v>
      </c>
      <c r="G9" s="35"/>
      <c r="H9" s="34"/>
      <c r="I9" s="34"/>
      <c r="J9" s="34">
        <f>$C$29*('E Balans VL '!D10+'E Balans VL '!E10)/100/3.6*1000000</f>
        <v>0</v>
      </c>
      <c r="K9" s="34"/>
      <c r="L9" s="34"/>
      <c r="M9" s="34"/>
      <c r="N9" s="34">
        <f>$C$29*'E Balans VL '!Y10/100/3.6*1000000</f>
        <v>35.195615512151967</v>
      </c>
      <c r="O9" s="34"/>
      <c r="P9" s="34"/>
      <c r="R9" s="33"/>
    </row>
    <row r="10" spans="1:18">
      <c r="A10" s="33" t="s">
        <v>50</v>
      </c>
      <c r="B10" s="38">
        <f t="shared" si="0"/>
        <v>4815.7452705711394</v>
      </c>
      <c r="C10" s="34"/>
      <c r="D10" s="38">
        <f>IF(ISERROR(TER_ander_gas_kWh/1000),0,TER_ander_gas_kWh/1000)*0.902</f>
        <v>5837.4934284408882</v>
      </c>
      <c r="E10" s="34">
        <f>$C$30*'E Balans VL '!I14/100/3.6*1000000</f>
        <v>39.39760930789879</v>
      </c>
      <c r="F10" s="34">
        <f>$C$30*('E Balans VL '!L14+'E Balans VL '!N14)/100/3.6*1000000</f>
        <v>1407.9278600050372</v>
      </c>
      <c r="G10" s="35"/>
      <c r="H10" s="34"/>
      <c r="I10" s="34"/>
      <c r="J10" s="34">
        <f>$C$30*('E Balans VL '!D14+'E Balans VL '!E14)/100/3.6*1000000</f>
        <v>0</v>
      </c>
      <c r="K10" s="34"/>
      <c r="L10" s="34"/>
      <c r="M10" s="34"/>
      <c r="N10" s="34">
        <f>$C$30*'E Balans VL '!Y14/100/3.6*1000000</f>
        <v>2778.0531419497788</v>
      </c>
      <c r="O10" s="34"/>
      <c r="P10" s="34"/>
      <c r="R10" s="33"/>
    </row>
    <row r="11" spans="1:18">
      <c r="A11" s="33" t="s">
        <v>55</v>
      </c>
      <c r="B11" s="38">
        <f t="shared" si="0"/>
        <v>1671.71004893911</v>
      </c>
      <c r="C11" s="34"/>
      <c r="D11" s="38">
        <f>IF(ISERROR(TER_onderwijs_gas_kWh/1000),0,TER_onderwijs_gas_kWh/1000)*0.902</f>
        <v>4378.7306406798334</v>
      </c>
      <c r="E11" s="34">
        <f>$C$31*'E Balans VL '!I11/100/3.6*1000000</f>
        <v>1.0303715377161153</v>
      </c>
      <c r="F11" s="34">
        <f>$C$31*('E Balans VL '!L11+'E Balans VL '!N11)/100/3.6*1000000</f>
        <v>646.31017771129257</v>
      </c>
      <c r="G11" s="35"/>
      <c r="H11" s="34"/>
      <c r="I11" s="34"/>
      <c r="J11" s="34">
        <f>$C$31*('E Balans VL '!D11+'E Balans VL '!E11)/100/3.6*1000000</f>
        <v>0</v>
      </c>
      <c r="K11" s="34"/>
      <c r="L11" s="34"/>
      <c r="M11" s="34"/>
      <c r="N11" s="34">
        <f>$C$31*'E Balans VL '!Y11/100/3.6*1000000</f>
        <v>5.4377145493843733</v>
      </c>
      <c r="O11" s="34"/>
      <c r="P11" s="34"/>
      <c r="R11" s="33"/>
    </row>
    <row r="12" spans="1:18">
      <c r="A12" s="33" t="s">
        <v>260</v>
      </c>
      <c r="B12" s="38">
        <f t="shared" si="0"/>
        <v>1982.1599144872901</v>
      </c>
      <c r="C12" s="34"/>
      <c r="D12" s="38">
        <f>IF(ISERROR(TER_rest_gas_kWh/1000),0,TER_rest_gas_kWh/1000)*0.902</f>
        <v>4670.108003893537</v>
      </c>
      <c r="E12" s="34">
        <f>$C$32*'E Balans VL '!I8/100/3.6*1000000</f>
        <v>17.126536966563179</v>
      </c>
      <c r="F12" s="34">
        <f>$C$32*('E Balans VL '!L8+'E Balans VL '!N8)/100/3.6*1000000</f>
        <v>394.82121152663569</v>
      </c>
      <c r="G12" s="35"/>
      <c r="H12" s="34"/>
      <c r="I12" s="34"/>
      <c r="J12" s="34">
        <f>$C$32*('E Balans VL '!D8+'E Balans VL '!E8)/100/3.6*1000000</f>
        <v>0</v>
      </c>
      <c r="K12" s="34"/>
      <c r="L12" s="34"/>
      <c r="M12" s="34"/>
      <c r="N12" s="34">
        <f>$C$32*'E Balans VL '!Y8/100/3.6*1000000</f>
        <v>130.37239765349054</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31033.31081021942</v>
      </c>
      <c r="C16" s="22">
        <f t="shared" ca="1" si="1"/>
        <v>0</v>
      </c>
      <c r="D16" s="22">
        <f t="shared" ca="1" si="1"/>
        <v>38338.183574535469</v>
      </c>
      <c r="E16" s="22">
        <f t="shared" si="1"/>
        <v>201.64110721797857</v>
      </c>
      <c r="F16" s="22">
        <f t="shared" ca="1" si="1"/>
        <v>7198.7374632915771</v>
      </c>
      <c r="G16" s="22">
        <f t="shared" si="1"/>
        <v>0</v>
      </c>
      <c r="H16" s="22">
        <f t="shared" si="1"/>
        <v>0</v>
      </c>
      <c r="I16" s="22">
        <f t="shared" si="1"/>
        <v>0</v>
      </c>
      <c r="J16" s="22">
        <f t="shared" si="1"/>
        <v>0</v>
      </c>
      <c r="K16" s="22">
        <f t="shared" si="1"/>
        <v>0</v>
      </c>
      <c r="L16" s="22">
        <f t="shared" ca="1" si="1"/>
        <v>0</v>
      </c>
      <c r="M16" s="22">
        <f t="shared" si="1"/>
        <v>0</v>
      </c>
      <c r="N16" s="22">
        <f t="shared" ca="1" si="1"/>
        <v>3008.6456853867085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0.20927929562124017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6494.6294271577381</v>
      </c>
      <c r="C20" s="24">
        <f t="shared" ref="C20:P20" ca="1" si="2">C16*C18</f>
        <v>0</v>
      </c>
      <c r="D20" s="24">
        <f t="shared" ca="1" si="2"/>
        <v>7744.3130820561655</v>
      </c>
      <c r="E20" s="24">
        <f t="shared" si="2"/>
        <v>45.772531338481137</v>
      </c>
      <c r="F20" s="24">
        <f t="shared" ca="1" si="2"/>
        <v>1922.0629026988513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5435.5828251027397</v>
      </c>
      <c r="C26" s="40">
        <f>IF(ISERROR(B26*3.6/1000000/'E Balans VL '!Z12*100),0,B26*3.6/1000000/'E Balans VL '!Z12*100)</f>
        <v>0.11550223700824873</v>
      </c>
      <c r="D26" s="240" t="s">
        <v>707</v>
      </c>
      <c r="F26" s="6"/>
    </row>
    <row r="27" spans="1:18">
      <c r="A27" s="234" t="s">
        <v>53</v>
      </c>
      <c r="B27" s="34">
        <f>IF(ISERROR(TER_horeca_ele_kWh/1000),0,TER_horeca_ele_kWh/1000)</f>
        <v>1308.9541067498301</v>
      </c>
      <c r="C27" s="40">
        <f>IF(ISERROR(B27*3.6/1000000/'E Balans VL '!Z9*100),0,B27*3.6/1000000/'E Balans VL '!Z9*100)</f>
        <v>0.10302481029942304</v>
      </c>
      <c r="D27" s="240" t="s">
        <v>707</v>
      </c>
      <c r="F27" s="6"/>
    </row>
    <row r="28" spans="1:18">
      <c r="A28" s="174" t="s">
        <v>52</v>
      </c>
      <c r="B28" s="34">
        <f>IF(ISERROR(TER_handel_ele_kWh/1000),0,TER_handel_ele_kWh/1000)</f>
        <v>11734.6780421864</v>
      </c>
      <c r="C28" s="40">
        <f>IF(ISERROR(B28*3.6/1000000/'E Balans VL '!Z13*100),0,B28*3.6/1000000/'E Balans VL '!Z13*100)</f>
        <v>0.32869461211339063</v>
      </c>
      <c r="D28" s="240" t="s">
        <v>707</v>
      </c>
      <c r="F28" s="6"/>
    </row>
    <row r="29" spans="1:18">
      <c r="A29" s="234" t="s">
        <v>51</v>
      </c>
      <c r="B29" s="34">
        <f>IF(ISERROR(TER_gezond_ele_kWh/1000),0,TER_gezond_ele_kWh/1000)</f>
        <v>4084.4806021829099</v>
      </c>
      <c r="C29" s="40">
        <f>IF(ISERROR(B29*3.6/1000000/'E Balans VL '!Z10*100),0,B29*3.6/1000000/'E Balans VL '!Z10*100)</f>
        <v>0.52252857873832537</v>
      </c>
      <c r="D29" s="240" t="s">
        <v>707</v>
      </c>
      <c r="F29" s="6"/>
    </row>
    <row r="30" spans="1:18">
      <c r="A30" s="234" t="s">
        <v>50</v>
      </c>
      <c r="B30" s="34">
        <f>IF(ISERROR(TER_ander_ele_kWh/1000),0,TER_ander_ele_kWh/1000)</f>
        <v>4815.7452705711394</v>
      </c>
      <c r="C30" s="40">
        <f>IF(ISERROR(B30*3.6/1000000/'E Balans VL '!Z14*100),0,B30*3.6/1000000/'E Balans VL '!Z14*100)</f>
        <v>0.36017716806021527</v>
      </c>
      <c r="D30" s="240" t="s">
        <v>707</v>
      </c>
      <c r="F30" s="6"/>
    </row>
    <row r="31" spans="1:18">
      <c r="A31" s="234" t="s">
        <v>55</v>
      </c>
      <c r="B31" s="34">
        <f>IF(ISERROR(TER_onderwijs_ele_kWh/1000),0,TER_onderwijs_ele_kWh/1000)</f>
        <v>1671.71004893911</v>
      </c>
      <c r="C31" s="40">
        <f>IF(ISERROR(B31*3.6/1000000/'E Balans VL '!Z11*100),0,B31*3.6/1000000/'E Balans VL '!Z11*100)</f>
        <v>0.35298374225150103</v>
      </c>
      <c r="D31" s="240" t="s">
        <v>707</v>
      </c>
    </row>
    <row r="32" spans="1:18">
      <c r="A32" s="234" t="s">
        <v>260</v>
      </c>
      <c r="B32" s="34">
        <f>IF(ISERROR(TER_rest_ele_kWh/1000),0,TER_rest_ele_kWh/1000)</f>
        <v>1982.1599144872901</v>
      </c>
      <c r="C32" s="40">
        <f>IF(ISERROR(B32*3.6/1000000/'E Balans VL '!Z8*100),0,B32*3.6/1000000/'E Balans VL '!Z8*100)</f>
        <v>1.6328898718383993E-2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134118.37221713288</v>
      </c>
      <c r="C5" s="18">
        <f>IF(ISERROR('Eigen informatie GS &amp; warmtenet'!B59),0,'Eigen informatie GS &amp; warmtenet'!B59)</f>
        <v>0</v>
      </c>
      <c r="D5" s="31">
        <f>SUM(D6:D15)</f>
        <v>186536.55522295638</v>
      </c>
      <c r="E5" s="18">
        <f>SUM(E6:E15)</f>
        <v>1028.5482899398658</v>
      </c>
      <c r="F5" s="18">
        <f>SUM(F6:F15)</f>
        <v>59377.753188372284</v>
      </c>
      <c r="G5" s="19"/>
      <c r="H5" s="18"/>
      <c r="I5" s="18"/>
      <c r="J5" s="18">
        <f>SUM(J6:J15)</f>
        <v>279.32685107623337</v>
      </c>
      <c r="K5" s="18"/>
      <c r="L5" s="18"/>
      <c r="M5" s="18"/>
      <c r="N5" s="18">
        <f>SUM(N6:N15)</f>
        <v>6829.4476989264022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1044.92741917545</v>
      </c>
      <c r="C8" s="34"/>
      <c r="D8" s="38">
        <f>IF( ISERROR(IND_metaal_Gas_kWH/1000),0,IND_metaal_Gas_kWH/1000)*0.902</f>
        <v>56.090414335162052</v>
      </c>
      <c r="E8" s="34">
        <f>C30*'E Balans VL '!I18/100/3.6*1000000</f>
        <v>9.5159656976004001</v>
      </c>
      <c r="F8" s="34">
        <f>C30*'E Balans VL '!L18/100/3.6*1000000+C30*'E Balans VL '!N18/100/3.6*1000000</f>
        <v>137.81799127412731</v>
      </c>
      <c r="G8" s="35"/>
      <c r="H8" s="34"/>
      <c r="I8" s="34"/>
      <c r="J8" s="41">
        <f>C30*'E Balans VL '!D18/100/3.6*1000000+C30*'E Balans VL '!E18/100/3.6*1000000</f>
        <v>17.135292494496749</v>
      </c>
      <c r="K8" s="34"/>
      <c r="L8" s="34"/>
      <c r="M8" s="34"/>
      <c r="N8" s="34">
        <f>C30*'E Balans VL '!Y18/100/3.6*1000000</f>
        <v>3.5910004433535563</v>
      </c>
      <c r="O8" s="34"/>
      <c r="P8" s="34"/>
      <c r="R8" s="33"/>
    </row>
    <row r="9" spans="1:18">
      <c r="A9" s="6" t="s">
        <v>33</v>
      </c>
      <c r="B9" s="38">
        <f t="shared" si="0"/>
        <v>59089.488824394102</v>
      </c>
      <c r="C9" s="34"/>
      <c r="D9" s="38">
        <f>IF( ISERROR(IND_andere_gas_kWh/1000),0,IND_andere_gas_kWh/1000)*0.902</f>
        <v>6621.7035237329474</v>
      </c>
      <c r="E9" s="34">
        <f>C31*'E Balans VL '!I19/100/3.6*1000000</f>
        <v>341.54607559873108</v>
      </c>
      <c r="F9" s="34">
        <f>C31*'E Balans VL '!L19/100/3.6*1000000+C31*'E Balans VL '!N19/100/3.6*1000000</f>
        <v>47008.531633495259</v>
      </c>
      <c r="G9" s="35"/>
      <c r="H9" s="34"/>
      <c r="I9" s="34"/>
      <c r="J9" s="41">
        <f>C31*'E Balans VL '!D19/100/3.6*1000000+C31*'E Balans VL '!E19/100/3.6*1000000</f>
        <v>5.5892092953360724</v>
      </c>
      <c r="K9" s="34"/>
      <c r="L9" s="34"/>
      <c r="M9" s="34"/>
      <c r="N9" s="34">
        <f>C31*'E Balans VL '!Y19/100/3.6*1000000</f>
        <v>4476.922997837507</v>
      </c>
      <c r="O9" s="34"/>
      <c r="P9" s="34"/>
      <c r="R9" s="33"/>
    </row>
    <row r="10" spans="1:18">
      <c r="A10" s="6" t="s">
        <v>41</v>
      </c>
      <c r="B10" s="38">
        <f t="shared" si="0"/>
        <v>15828.7886191821</v>
      </c>
      <c r="C10" s="34"/>
      <c r="D10" s="38">
        <f>IF( ISERROR(IND_voed_gas_kWh/1000),0,IND_voed_gas_kWh/1000)*0.902</f>
        <v>2273.9872821417171</v>
      </c>
      <c r="E10" s="34">
        <f>C32*'E Balans VL '!I20/100/3.6*1000000</f>
        <v>155.63840263271638</v>
      </c>
      <c r="F10" s="34">
        <f>C32*'E Balans VL '!L20/100/3.6*1000000+C32*'E Balans VL '!N20/100/3.6*1000000</f>
        <v>1757.9935837091678</v>
      </c>
      <c r="G10" s="35"/>
      <c r="H10" s="34"/>
      <c r="I10" s="34"/>
      <c r="J10" s="41">
        <f>C32*'E Balans VL '!D20/100/3.6*1000000+C32*'E Balans VL '!E20/100/3.6*1000000</f>
        <v>6.2388441785841353E-2</v>
      </c>
      <c r="K10" s="34"/>
      <c r="L10" s="34"/>
      <c r="M10" s="34"/>
      <c r="N10" s="34">
        <f>C32*'E Balans VL '!Y20/100/3.6*1000000</f>
        <v>234.38712621458387</v>
      </c>
      <c r="O10" s="34"/>
      <c r="P10" s="34"/>
      <c r="R10" s="33"/>
    </row>
    <row r="11" spans="1:18">
      <c r="A11" s="6" t="s">
        <v>40</v>
      </c>
      <c r="B11" s="38">
        <f t="shared" si="0"/>
        <v>5897.0097255102701</v>
      </c>
      <c r="C11" s="34"/>
      <c r="D11" s="38">
        <f>IF( ISERROR(IND_textiel_gas_kWh/1000),0,IND_textiel_gas_kWh/1000)*0.902</f>
        <v>34563.046074824037</v>
      </c>
      <c r="E11" s="34">
        <f>C33*'E Balans VL '!I21/100/3.6*1000000</f>
        <v>11.482847261597895</v>
      </c>
      <c r="F11" s="34">
        <f>C33*'E Balans VL '!L21/100/3.6*1000000+C33*'E Balans VL '!N21/100/3.6*1000000</f>
        <v>194.50273180586794</v>
      </c>
      <c r="G11" s="35"/>
      <c r="H11" s="34"/>
      <c r="I11" s="34"/>
      <c r="J11" s="41">
        <f>C33*'E Balans VL '!D21/100/3.6*1000000+C33*'E Balans VL '!E21/100/3.6*1000000</f>
        <v>0</v>
      </c>
      <c r="K11" s="34"/>
      <c r="L11" s="34"/>
      <c r="M11" s="34"/>
      <c r="N11" s="34">
        <f>C33*'E Balans VL '!Y21/100/3.6*1000000</f>
        <v>61.167501034622489</v>
      </c>
      <c r="O11" s="34"/>
      <c r="P11" s="34"/>
      <c r="R11" s="33"/>
    </row>
    <row r="12" spans="1:18">
      <c r="A12" s="6" t="s">
        <v>37</v>
      </c>
      <c r="B12" s="38">
        <f t="shared" si="0"/>
        <v>396.43675257289198</v>
      </c>
      <c r="C12" s="34"/>
      <c r="D12" s="38">
        <f>IF( ISERROR(IND_min_gas_kWh/1000),0,IND_min_gas_kWh/1000)*0.902</f>
        <v>0</v>
      </c>
      <c r="E12" s="34">
        <f>C34*'E Balans VL '!I22/100/3.6*1000000</f>
        <v>10.050377134972702</v>
      </c>
      <c r="F12" s="34">
        <f>C34*'E Balans VL '!L22/100/3.6*1000000+C34*'E Balans VL '!N22/100/3.6*1000000</f>
        <v>109.6954312530093</v>
      </c>
      <c r="G12" s="35"/>
      <c r="H12" s="34"/>
      <c r="I12" s="34"/>
      <c r="J12" s="41">
        <f>C34*'E Balans VL '!D22/100/3.6*1000000+C34*'E Balans VL '!E22/100/3.6*1000000</f>
        <v>2.6181479783246355</v>
      </c>
      <c r="K12" s="34"/>
      <c r="L12" s="34"/>
      <c r="M12" s="34"/>
      <c r="N12" s="34">
        <f>C34*'E Balans VL '!Y22/100/3.6*1000000</f>
        <v>0</v>
      </c>
      <c r="O12" s="34"/>
      <c r="P12" s="34"/>
      <c r="R12" s="33"/>
    </row>
    <row r="13" spans="1:18">
      <c r="A13" s="6" t="s">
        <v>39</v>
      </c>
      <c r="B13" s="38">
        <f t="shared" si="0"/>
        <v>1367.90379739028</v>
      </c>
      <c r="C13" s="34"/>
      <c r="D13" s="38">
        <f>IF( ISERROR(IND_papier_gas_kWh/1000),0,IND_papier_gas_kWh/1000)*0.902</f>
        <v>943.01509402162333</v>
      </c>
      <c r="E13" s="34">
        <f>C35*'E Balans VL '!I23/100/3.6*1000000</f>
        <v>46.592786671391757</v>
      </c>
      <c r="F13" s="34">
        <f>C35*'E Balans VL '!L23/100/3.6*1000000+C35*'E Balans VL '!N23/100/3.6*1000000</f>
        <v>225.94560331780664</v>
      </c>
      <c r="G13" s="35"/>
      <c r="H13" s="34"/>
      <c r="I13" s="34"/>
      <c r="J13" s="41">
        <f>C35*'E Balans VL '!D23/100/3.6*1000000+C35*'E Balans VL '!E23/100/3.6*1000000</f>
        <v>0</v>
      </c>
      <c r="K13" s="34"/>
      <c r="L13" s="34"/>
      <c r="M13" s="34"/>
      <c r="N13" s="34">
        <f>C35*'E Balans VL '!Y23/100/3.6*1000000</f>
        <v>503.35191310354878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50493.817078907799</v>
      </c>
      <c r="C15" s="34"/>
      <c r="D15" s="38">
        <f>IF( ISERROR(IND_rest_gas_kWh/1000),0,IND_rest_gas_kWh/1000)*0.902</f>
        <v>142078.71283390088</v>
      </c>
      <c r="E15" s="34">
        <f>C37*'E Balans VL '!I15/100/3.6*1000000</f>
        <v>453.72183494285554</v>
      </c>
      <c r="F15" s="34">
        <f>C37*'E Balans VL '!L15/100/3.6*1000000+C37*'E Balans VL '!N15/100/3.6*1000000</f>
        <v>9943.2662135170431</v>
      </c>
      <c r="G15" s="35"/>
      <c r="H15" s="34"/>
      <c r="I15" s="34"/>
      <c r="J15" s="41">
        <f>C37*'E Balans VL '!D15/100/3.6*1000000+C37*'E Balans VL '!E15/100/3.6*1000000</f>
        <v>253.92181286629008</v>
      </c>
      <c r="K15" s="34"/>
      <c r="L15" s="34"/>
      <c r="M15" s="34"/>
      <c r="N15" s="34">
        <f>C37*'E Balans VL '!Y15/100/3.6*1000000</f>
        <v>1550.027160292786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134118.37221713288</v>
      </c>
      <c r="C18" s="22">
        <f>C5+C16</f>
        <v>0</v>
      </c>
      <c r="D18" s="22">
        <f>MAX((D5+D16),0)</f>
        <v>186536.55522295638</v>
      </c>
      <c r="E18" s="22">
        <f>MAX((E5+E16),0)</f>
        <v>1028.5482899398658</v>
      </c>
      <c r="F18" s="22">
        <f>MAX((F5+F16),0)</f>
        <v>59377.753188372284</v>
      </c>
      <c r="G18" s="22"/>
      <c r="H18" s="22"/>
      <c r="I18" s="22"/>
      <c r="J18" s="22">
        <f>MAX((J5+J16),0)</f>
        <v>279.32685107623337</v>
      </c>
      <c r="K18" s="22"/>
      <c r="L18" s="22">
        <f>MAX((L5+L16),0)</f>
        <v>0</v>
      </c>
      <c r="M18" s="22"/>
      <c r="N18" s="22">
        <f>MAX((N5+N16),0)</f>
        <v>6829.4476989264022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0.20927929562124017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28068.198467468879</v>
      </c>
      <c r="C22" s="24">
        <f ca="1">C18*C20</f>
        <v>0</v>
      </c>
      <c r="D22" s="24">
        <f>D18*D20</f>
        <v>37680.384155037187</v>
      </c>
      <c r="E22" s="24">
        <f>E18*E20</f>
        <v>233.48046181634953</v>
      </c>
      <c r="F22" s="24">
        <f>F18*F20</f>
        <v>15853.8601012954</v>
      </c>
      <c r="G22" s="24"/>
      <c r="H22" s="24"/>
      <c r="I22" s="24"/>
      <c r="J22" s="24">
        <f>J18*J20</f>
        <v>98.881705280986608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1044.92741917545</v>
      </c>
      <c r="C30" s="40">
        <f>IF(ISERROR(B30*3.6/1000000/'E Balans VL '!Z18*100),0,B30*3.6/1000000/'E Balans VL '!Z18*100)</f>
        <v>5.8143223507411579E-2</v>
      </c>
      <c r="D30" s="240" t="s">
        <v>707</v>
      </c>
    </row>
    <row r="31" spans="1:18">
      <c r="A31" s="6" t="s">
        <v>33</v>
      </c>
      <c r="B31" s="38">
        <f>IF( ISERROR(IND_ander_ele_kWh/1000),0,IND_ander_ele_kWh/1000)</f>
        <v>59089.488824394102</v>
      </c>
      <c r="C31" s="40">
        <f>IF(ISERROR(B31*3.6/1000000/'E Balans VL '!Z19*100),0,B31*3.6/1000000/'E Balans VL '!Z19*100)</f>
        <v>2.7469151485610737</v>
      </c>
      <c r="D31" s="240" t="s">
        <v>707</v>
      </c>
    </row>
    <row r="32" spans="1:18">
      <c r="A32" s="174" t="s">
        <v>41</v>
      </c>
      <c r="B32" s="38">
        <f>IF( ISERROR(IND_voed_ele_kWh/1000),0,IND_voed_ele_kWh/1000)</f>
        <v>15828.7886191821</v>
      </c>
      <c r="C32" s="40">
        <f>IF(ISERROR(B32*3.6/1000000/'E Balans VL '!Z20*100),0,B32*3.6/1000000/'E Balans VL '!Z20*100)</f>
        <v>0.55951571009562928</v>
      </c>
      <c r="D32" s="240" t="s">
        <v>707</v>
      </c>
    </row>
    <row r="33" spans="1:5">
      <c r="A33" s="174" t="s">
        <v>40</v>
      </c>
      <c r="B33" s="38">
        <f>IF( ISERROR(IND_textiel_ele_kWh/1000),0,IND_textiel_ele_kWh/1000)</f>
        <v>5897.0097255102701</v>
      </c>
      <c r="C33" s="40">
        <f>IF(ISERROR(B33*3.6/1000000/'E Balans VL '!Z21*100),0,B33*3.6/1000000/'E Balans VL '!Z21*100)</f>
        <v>0.79648064428198706</v>
      </c>
      <c r="D33" s="240" t="s">
        <v>707</v>
      </c>
    </row>
    <row r="34" spans="1:5">
      <c r="A34" s="174" t="s">
        <v>37</v>
      </c>
      <c r="B34" s="38">
        <f>IF( ISERROR(IND_min_ele_kWh/1000),0,IND_min_ele_kWh/1000)</f>
        <v>396.43675257289198</v>
      </c>
      <c r="C34" s="40">
        <f>IF(ISERROR(B34*3.6/1000000/'E Balans VL '!Z22*100),0,B34*3.6/1000000/'E Balans VL '!Z22*100)</f>
        <v>7.9672608128405875E-2</v>
      </c>
      <c r="D34" s="240" t="s">
        <v>707</v>
      </c>
    </row>
    <row r="35" spans="1:5">
      <c r="A35" s="174" t="s">
        <v>39</v>
      </c>
      <c r="B35" s="38">
        <f>IF( ISERROR(IND_papier_ele_kWh/1000),0,IND_papier_ele_kWh/1000)</f>
        <v>1367.90379739028</v>
      </c>
      <c r="C35" s="40">
        <f>IF(ISERROR(B35*3.6/1000000/'E Balans VL '!Z22*100),0,B35*3.6/1000000/'E Balans VL '!Z22*100)</f>
        <v>0.27491008969153374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50493.817078907799</v>
      </c>
      <c r="C37" s="40">
        <f>IF(ISERROR(B37*3.6/1000000/'E Balans VL '!Z15*100),0,B37*3.6/1000000/'E Balans VL '!Z15*100)</f>
        <v>0.38130290959280172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12127.103628133045</v>
      </c>
      <c r="C5" s="18">
        <f>'Eigen informatie GS &amp; warmtenet'!B60</f>
        <v>0</v>
      </c>
      <c r="D5" s="31">
        <f>IF(ISERROR(SUM(LB_lb_gas_kWh,LB_rest_gas_kWh,onbekend_gas_kWh)/1000),0,SUM(LB_lb_gas_kWh,LB_rest_gas_kWh,onbekend_gas_kWh)/1000)*0.902</f>
        <v>4701.3233566899826</v>
      </c>
      <c r="E5" s="18">
        <f>B17*'E Balans VL '!I25/3.6*1000000/100</f>
        <v>114.24544160298323</v>
      </c>
      <c r="F5" s="18">
        <f>B17*('E Balans VL '!L25/3.6*1000000+'E Balans VL '!N25/3.6*1000000)/100</f>
        <v>39574.763770835962</v>
      </c>
      <c r="G5" s="19"/>
      <c r="H5" s="18"/>
      <c r="I5" s="18"/>
      <c r="J5" s="18">
        <f>('E Balans VL '!D25+'E Balans VL '!E25)/3.6*1000000*landbouw!B17/100</f>
        <v>1500.1817050207737</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12127.103628133045</v>
      </c>
      <c r="C8" s="22">
        <f>C5+C6</f>
        <v>0</v>
      </c>
      <c r="D8" s="22">
        <f>MAX((D5+D6),0)</f>
        <v>4701.3233566899826</v>
      </c>
      <c r="E8" s="22">
        <f>MAX((E5+E6),0)</f>
        <v>114.24544160298323</v>
      </c>
      <c r="F8" s="22">
        <f>MAX((F5+F6),0)</f>
        <v>39574.763770835962</v>
      </c>
      <c r="G8" s="22"/>
      <c r="H8" s="22"/>
      <c r="I8" s="22"/>
      <c r="J8" s="22">
        <f>MAX((J5+J6),0)</f>
        <v>1500.1817050207737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0.20927929562124017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2537.9517052214696</v>
      </c>
      <c r="C12" s="24">
        <f ca="1">C8*C10</f>
        <v>0</v>
      </c>
      <c r="D12" s="24">
        <f>D8*D10</f>
        <v>949.66731805137658</v>
      </c>
      <c r="E12" s="24">
        <f>E8*E10</f>
        <v>25.933715243877195</v>
      </c>
      <c r="F12" s="24">
        <f>F8*F10</f>
        <v>10566.461926813203</v>
      </c>
      <c r="G12" s="24"/>
      <c r="H12" s="24"/>
      <c r="I12" s="24"/>
      <c r="J12" s="24">
        <f>J8*J10</f>
        <v>531.06432357735389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1.641816046327953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1387.133224895028</v>
      </c>
      <c r="C26" s="250">
        <f>B26*'GWP N2O_CH4'!B5</f>
        <v>29129.797722795589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934.4750451707755</v>
      </c>
      <c r="C27" s="250">
        <f>B27*'GWP N2O_CH4'!B5</f>
        <v>19623.975948586285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21.016657639590857</v>
      </c>
      <c r="C28" s="250">
        <f>B28*'GWP N2O_CH4'!B4</f>
        <v>6515.1638682731655</v>
      </c>
      <c r="D28" s="51"/>
    </row>
    <row r="29" spans="1:4">
      <c r="A29" s="42" t="s">
        <v>277</v>
      </c>
      <c r="B29" s="250">
        <f>B34*'ha_N2O bodem landbouw'!B4</f>
        <v>28.13387612097052</v>
      </c>
      <c r="C29" s="250">
        <f>B29*'GWP N2O_CH4'!B4</f>
        <v>8721.501597500861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7.5952608907345559E-3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7.3142269779768324E-6</v>
      </c>
      <c r="C5" s="447" t="s">
        <v>211</v>
      </c>
      <c r="D5" s="432">
        <f>SUM(D6:D11)</f>
        <v>2.0571756942123968E-5</v>
      </c>
      <c r="E5" s="432">
        <f>SUM(E6:E11)</f>
        <v>1.1894083728770843E-3</v>
      </c>
      <c r="F5" s="445" t="s">
        <v>211</v>
      </c>
      <c r="G5" s="432">
        <f>SUM(G6:G11)</f>
        <v>0.27569991526104831</v>
      </c>
      <c r="H5" s="432">
        <f>SUM(H6:H11)</f>
        <v>4.5656074911811492E-2</v>
      </c>
      <c r="I5" s="447" t="s">
        <v>211</v>
      </c>
      <c r="J5" s="447" t="s">
        <v>211</v>
      </c>
      <c r="K5" s="447" t="s">
        <v>211</v>
      </c>
      <c r="L5" s="447" t="s">
        <v>211</v>
      </c>
      <c r="M5" s="432">
        <f>SUM(M6:M11)</f>
        <v>1.4365479830089406E-2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5.9167197940516115E-6</v>
      </c>
      <c r="C6" s="433"/>
      <c r="D6" s="433">
        <f>vkm_2011_GW_PW*SUMIFS(TableVerdeelsleutelVkm[CNG],TableVerdeelsleutelVkm[Voertuigtype],"Lichte voertuigen")*SUMIFS(TableECFTransport[EnergieConsumptieFactor (PJ per km)],TableECFTransport[Index],CONCATENATE($A6,"_CNG_CNG"))</f>
        <v>1.4448728825010248E-5</v>
      </c>
      <c r="E6" s="435">
        <f>vkm_2011_GW_PW*SUMIFS(TableVerdeelsleutelVkm[LPG],TableVerdeelsleutelVkm[Voertuigtype],"Lichte voertuigen")*SUMIFS(TableECFTransport[EnergieConsumptieFactor (PJ per km)],TableECFTransport[Index],CONCATENATE($A6,"_LPG_LPG"))</f>
        <v>8.5644597572409348E-4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0.12380934057293035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3.2446871187699663E-2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6.9974409261046606E-3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8.9212367098926118E-2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3.5993712026572047E-5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3.9743833521440472E-3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1.3975071839252212E-6</v>
      </c>
      <c r="C8" s="433"/>
      <c r="D8" s="435">
        <f>vkm_2011_NGW_PW*SUMIFS(TableVerdeelsleutelVkm[CNG],TableVerdeelsleutelVkm[Voertuigtype],"Lichte voertuigen")*SUMIFS(TableECFTransport[EnergieConsumptieFactor (PJ per km)],TableECFTransport[Index],CONCATENATE($A8,"_CNG_CNG"))</f>
        <v>6.1230281171137208E-6</v>
      </c>
      <c r="E8" s="435">
        <f>vkm_2011_NGW_PW*SUMIFS(TableVerdeelsleutelVkm[LPG],TableVerdeelsleutelVkm[Voertuigtype],"Lichte voertuigen")*SUMIFS(TableECFTransport[EnergieConsumptieFactor (PJ per km)],TableECFTransport[Index],CONCATENATE($A8,"_LPG_LPG"))</f>
        <v>3.3296239715299079E-4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4.5471117471460841E-2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1.3167165303663313E-2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2.6271260691713137E-3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1.7207090117731028E-2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6.0447084219405723E-6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7.6652948266938531E-4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2.0317297161046755</v>
      </c>
      <c r="C14" s="22"/>
      <c r="D14" s="22">
        <f t="shared" ref="D14:M14" si="0">((D5)*10^9/3600)+D12</f>
        <v>5.714376928367769</v>
      </c>
      <c r="E14" s="22">
        <f t="shared" si="0"/>
        <v>330.391214688079</v>
      </c>
      <c r="F14" s="22"/>
      <c r="G14" s="22">
        <f t="shared" si="0"/>
        <v>76583.309794735644</v>
      </c>
      <c r="H14" s="22">
        <f t="shared" si="0"/>
        <v>12682.243031058748</v>
      </c>
      <c r="I14" s="22"/>
      <c r="J14" s="22"/>
      <c r="K14" s="22"/>
      <c r="L14" s="22"/>
      <c r="M14" s="22">
        <f t="shared" si="0"/>
        <v>3990.4110639137239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0.20927929562124017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0.42519896387912876</v>
      </c>
      <c r="C18" s="24"/>
      <c r="D18" s="24">
        <f t="shared" ref="D18:M18" si="1">D14*D16</f>
        <v>1.1543041395302893</v>
      </c>
      <c r="E18" s="24">
        <f t="shared" si="1"/>
        <v>74.998805734193937</v>
      </c>
      <c r="F18" s="24"/>
      <c r="G18" s="24">
        <f t="shared" si="1"/>
        <v>20447.743715194418</v>
      </c>
      <c r="H18" s="24">
        <f t="shared" si="1"/>
        <v>3157.8785147336284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4.6982406200548185E-3</v>
      </c>
      <c r="H50" s="323">
        <f t="shared" si="2"/>
        <v>0</v>
      </c>
      <c r="I50" s="323">
        <f t="shared" si="2"/>
        <v>0</v>
      </c>
      <c r="J50" s="323">
        <f t="shared" si="2"/>
        <v>0</v>
      </c>
      <c r="K50" s="323">
        <f t="shared" si="2"/>
        <v>0</v>
      </c>
      <c r="L50" s="323">
        <f t="shared" si="2"/>
        <v>0</v>
      </c>
      <c r="M50" s="323">
        <f t="shared" si="2"/>
        <v>2.0630749585929538E-4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4.6982406200548185E-3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2.0630749585929538E-4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1305.0668389041164</v>
      </c>
      <c r="H54" s="22">
        <f t="shared" si="3"/>
        <v>0</v>
      </c>
      <c r="I54" s="22">
        <f t="shared" si="3"/>
        <v>0</v>
      </c>
      <c r="J54" s="22">
        <f t="shared" si="3"/>
        <v>0</v>
      </c>
      <c r="K54" s="22">
        <f t="shared" si="3"/>
        <v>0</v>
      </c>
      <c r="L54" s="22">
        <f t="shared" si="3"/>
        <v>0</v>
      </c>
      <c r="M54" s="22">
        <f t="shared" si="3"/>
        <v>57.307637738693167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0.20927929562124017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348.45284598739909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11353.942223056689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11353.942223056689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2018-06-27T09:19:22Z</dcterms:modified>
</cp:coreProperties>
</file>