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38" i="13" l="1"/>
  <c r="B16" i="18"/>
  <c r="B78" i="14" s="1"/>
  <c r="B81" s="1"/>
  <c r="C13" i="15"/>
  <c r="C16" s="1"/>
  <c r="D10" i="14" s="1"/>
  <c r="D12" i="22"/>
  <c r="E17" i="14"/>
  <c r="D13" i="48"/>
  <c r="D31" i="20"/>
  <c r="E43" i="14" s="1"/>
  <c r="E12" i="22"/>
  <c r="F17" i="14"/>
  <c r="E13" i="48"/>
  <c r="I101" i="18"/>
  <c r="H16" s="1"/>
  <c r="I78" i="14" s="1"/>
  <c r="E101" i="18"/>
  <c r="E16" s="1"/>
  <c r="F78" i="14" s="1"/>
  <c r="H101" i="18"/>
  <c r="D101"/>
  <c r="G101"/>
  <c r="C101"/>
  <c r="F101"/>
  <c r="B101"/>
  <c r="C16" s="1"/>
  <c r="D78" i="14" s="1"/>
  <c r="I11" i="48"/>
  <c r="N19" i="19"/>
  <c r="O35" i="14" s="1"/>
  <c r="B8" i="9"/>
  <c r="B6" i="48" s="1"/>
  <c r="Q6" s="1"/>
  <c r="P22" i="16"/>
  <c r="Q39" i="14" s="1"/>
  <c r="P18" i="16"/>
  <c r="G22" i="14"/>
  <c r="F8" i="17"/>
  <c r="F7" i="48" s="1"/>
  <c r="F24" s="1"/>
  <c r="J8" i="17"/>
  <c r="J12" s="1"/>
  <c r="K48" i="14" s="1"/>
  <c r="O80"/>
  <c r="C97" i="18"/>
  <c r="I19" i="19"/>
  <c r="J35" i="14" s="1"/>
  <c r="B12" i="22"/>
  <c r="B13" i="48"/>
  <c r="C17" i="14"/>
  <c r="E31" i="20"/>
  <c r="F43" i="14" s="1"/>
  <c r="C19" i="18"/>
  <c r="L16" i="16"/>
  <c r="L18" s="1"/>
  <c r="N6" i="17"/>
  <c r="N5" s="1"/>
  <c r="J9" i="14"/>
  <c r="D11" i="48"/>
  <c r="D28" s="1"/>
  <c r="D14" i="15"/>
  <c r="F19" i="19"/>
  <c r="G35" i="14" s="1"/>
  <c r="L19" i="19"/>
  <c r="M35" i="14" s="1"/>
  <c r="E7" i="15"/>
  <c r="O5" i="16"/>
  <c r="O9" i="14"/>
  <c r="L11" i="48"/>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K27" s="1"/>
  <c r="Q18" i="14"/>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D12" i="17"/>
  <c r="E48" i="14" s="1"/>
  <c r="E22"/>
  <c r="J9" i="16"/>
  <c r="B7" i="48"/>
  <c r="C22" i="14"/>
  <c r="C65"/>
  <c r="B65"/>
  <c r="F6" i="15"/>
  <c r="F8"/>
  <c r="N10" i="16"/>
  <c r="E14"/>
  <c r="L41" i="14"/>
  <c r="I41"/>
  <c r="J15"/>
  <c r="H15"/>
  <c r="L15"/>
  <c r="Q46"/>
  <c r="H69"/>
  <c r="J20"/>
  <c r="O20"/>
  <c r="M20"/>
  <c r="Q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L27" s="1"/>
  <c r="H21"/>
  <c r="K24"/>
  <c r="K25"/>
  <c r="Q11" i="14"/>
  <c r="P12" i="13"/>
  <c r="Q37" i="14" s="1"/>
  <c r="P4" i="48"/>
  <c r="P21" s="1"/>
  <c r="D12" i="13"/>
  <c r="E37" i="14" s="1"/>
  <c r="D4" i="48"/>
  <c r="D21" s="1"/>
  <c r="E11" i="14"/>
  <c r="F23" i="48"/>
  <c r="J23"/>
  <c r="N23"/>
  <c r="N26"/>
  <c r="H28"/>
  <c r="L28"/>
  <c r="F30"/>
  <c r="J30"/>
  <c r="N30"/>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B50" i="13"/>
  <c r="J7" i="48"/>
  <c r="J24" s="1"/>
  <c r="P24"/>
  <c r="E5" i="17"/>
  <c r="C8"/>
  <c r="G24" i="48"/>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L8" i="17" l="1"/>
  <c r="M22" i="14" s="1"/>
  <c r="L5" i="17"/>
  <c r="L29" i="48"/>
  <c r="O78" i="14"/>
  <c r="O81" s="1"/>
  <c r="B17" i="6" s="1"/>
  <c r="K22" i="14"/>
  <c r="E19" i="18"/>
  <c r="I16"/>
  <c r="C68"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L7" i="48"/>
  <c r="L24" s="1"/>
  <c r="M13"/>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L12" i="17" l="1"/>
  <c r="M48" i="14" s="1"/>
  <c r="E12" i="17"/>
  <c r="F48" i="14" s="1"/>
  <c r="M14" i="22"/>
  <c r="G14"/>
  <c r="G18" s="1"/>
  <c r="H45" i="14" s="1"/>
  <c r="I7" i="18"/>
  <c r="J67" i="14" s="1"/>
  <c r="J78"/>
  <c r="J81" s="1"/>
  <c r="I19" i="18"/>
  <c r="E7" i="48"/>
  <c r="E24" s="1"/>
  <c r="J7" i="18"/>
  <c r="K67" i="14" s="1"/>
  <c r="K69" s="1"/>
  <c r="E10"/>
  <c r="E15" s="1"/>
  <c r="E23" s="1"/>
  <c r="D5" i="48"/>
  <c r="D22" s="1"/>
  <c r="D31" s="1"/>
  <c r="J16" i="15"/>
  <c r="K10" i="14" s="1"/>
  <c r="C9" i="18"/>
  <c r="D67" i="14"/>
  <c r="N7" i="48"/>
  <c r="N24" s="1"/>
  <c r="N12" i="17"/>
  <c r="O48" i="14" s="1"/>
  <c r="K78"/>
  <c r="M16" i="18"/>
  <c r="M19" s="1"/>
  <c r="J19"/>
  <c r="O22" i="14"/>
  <c r="R22" s="1"/>
  <c r="O8" i="48"/>
  <c r="O25" s="1"/>
  <c r="P13" i="14"/>
  <c r="P15" s="1"/>
  <c r="P23" s="1"/>
  <c r="F67"/>
  <c r="F69" s="1"/>
  <c r="E9" i="18"/>
  <c r="E16" i="15"/>
  <c r="F10" i="14" s="1"/>
  <c r="O22" i="16"/>
  <c r="P39" i="14" s="1"/>
  <c r="P41" s="1"/>
  <c r="P53" s="1"/>
  <c r="P55" s="1"/>
  <c r="I9" i="18"/>
  <c r="I67" i="14"/>
  <c r="I69" s="1"/>
  <c r="H9" i="18"/>
  <c r="Q13" i="48"/>
  <c r="G58" i="22"/>
  <c r="H44" i="14" s="1"/>
  <c r="M58" i="22"/>
  <c r="N44" i="14" s="1"/>
  <c r="G10" i="48"/>
  <c r="G27" s="1"/>
  <c r="N18" i="14"/>
  <c r="R18" s="1"/>
  <c r="M18" i="22"/>
  <c r="N45" i="14" s="1"/>
  <c r="N46" s="1"/>
  <c r="N53"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9" i="18" l="1"/>
  <c r="M7"/>
  <c r="M9" s="1"/>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Q9" s="1"/>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J31" s="1"/>
  <c r="J14"/>
  <c r="R10" i="14"/>
  <c r="E25" i="48" l="1"/>
  <c r="E31" s="1"/>
  <c r="E14"/>
  <c r="N25"/>
  <c r="N31" s="1"/>
  <c r="N14"/>
  <c r="E22" i="16"/>
  <c r="F39" i="14" s="1"/>
  <c r="F41" s="1"/>
  <c r="F53" s="1"/>
  <c r="F55" s="1"/>
  <c r="J22" i="16"/>
  <c r="K39" i="14" s="1"/>
  <c r="K41" s="1"/>
  <c r="K53" s="1"/>
  <c r="Q8" i="48"/>
  <c r="F13" i="14"/>
  <c r="F15" s="1"/>
  <c r="F23" s="1"/>
  <c r="G14" i="48"/>
  <c r="H55" i="14"/>
  <c r="M14" i="48"/>
  <c r="R19" i="14"/>
  <c r="R20" s="1"/>
  <c r="M26" i="48"/>
  <c r="M31" s="1"/>
  <c r="O53" i="14"/>
  <c r="G53"/>
  <c r="G55" s="1"/>
  <c r="O69" s="1"/>
  <c r="B9" i="6" s="1"/>
  <c r="B12" s="1"/>
  <c r="M53" i="14"/>
  <c r="M55" s="1"/>
  <c r="C12" i="13"/>
  <c r="D37" i="14" s="1"/>
  <c r="D41" s="1"/>
  <c r="C23" i="48"/>
  <c r="C24"/>
  <c r="C27"/>
  <c r="C28"/>
  <c r="C22"/>
  <c r="C25"/>
  <c r="C29"/>
  <c r="C21"/>
  <c r="C26"/>
  <c r="K55" i="14"/>
  <c r="F25" i="48"/>
  <c r="F31" s="1"/>
  <c r="F14"/>
  <c r="Q14"/>
  <c r="R13" i="14" l="1"/>
  <c r="R15" s="1"/>
  <c r="R23"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<sst xmlns="http://schemas.openxmlformats.org/spreadsheetml/2006/main" count="2045" uniqueCount="890">
  <si>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</si>
  <si>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</si>
  <si>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</si>
  <si>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</si>
  <si>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</si>
  <si>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</si>
  <si>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</si>
  <si>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</si>
  <si>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</si>
  <si>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</si>
  <si>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</si>
  <si>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</si>
  <si>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</si>
  <si>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</si>
  <si>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</si>
  <si>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</si>
  <si>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</si>
  <si>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</si>
  <si>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</si>
  <si>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</si>
  <si>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</si>
  <si>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</si>
  <si>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</si>
  <si>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</si>
  <si>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</si>
  <si>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</si>
  <si>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</si>
  <si>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</si>
  <si>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</si>
  <si>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</si>
  <si>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</si>
  <si>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</si>
  <si>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</si>
  <si>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</si>
  <si>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</si>
  <si>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</si>
  <si>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</si>
  <si>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</si>
  <si>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</si>
  <si>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</si>
  <si>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</si>
  <si>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</si>
  <si>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</si>
  <si>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</si>
  <si>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</si>
  <si>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</si>
  <si>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</si>
  <si>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</si>
  <si>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</si>
  <si>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</si>
  <si>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</si>
  <si>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</si>
  <si>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</si>
  <si>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</si>
  <si>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</si>
  <si>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</si>
  <si>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</si>
  <si>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</si>
  <si>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</si>
  <si>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</si>
  <si>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</si>
  <si>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</si>
  <si>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</si>
  <si>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</si>
  <si>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</si>
  <si>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</si>
  <si>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</si>
  <si>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</si>
  <si>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</si>
  <si>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</si>
  <si>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</si>
  <si>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</si>
  <si>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</si>
  <si>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</si>
  <si>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</si>
  <si>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</si>
  <si>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</si>
  <si>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</si>
  <si>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</si>
  <si>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</si>
  <si>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</si>
  <si>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</si>
  <si>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</si>
  <si>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</si>
  <si>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</si>
  <si>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</si>
  <si>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</si>
  <si>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</si>
  <si>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</si>
  <si>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</si>
  <si>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</si>
  <si>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</si>
  <si>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</si>
  <si>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</si>
  <si>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</si>
  <si>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</si>
  <si>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</si>
  <si>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</si>
  <si>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</si>
  <si>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</si>
  <si>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</si>
  <si>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</si>
  <si>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</si>
  <si>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</si>
  <si>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</si>
  <si>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</si>
  <si>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</si>
  <si>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</si>
  <si>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</si>
  <si>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</si>
  <si>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</si>
  <si>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</si>
  <si>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</si>
  <si>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</si>
  <si>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</si>
  <si>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</si>
  <si>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</si>
  <si>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</si>
  <si>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</si>
  <si>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</si>
  <si>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</si>
  <si>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</si>
  <si>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</si>
  <si>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</si>
  <si>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</si>
  <si>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</si>
  <si>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</si>
  <si>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</si>
  <si>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</si>
  <si>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</si>
  <si>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</si>
  <si>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</si>
  <si>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</si>
  <si>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</si>
  <si>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</si>
  <si>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</si>
  <si>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</si>
  <si>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</si>
  <si>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</si>
  <si>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</si>
  <si>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</si>
  <si>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</si>
  <si>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</si>
  <si>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</si>
  <si>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</si>
  <si>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</si>
  <si>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</si>
  <si>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</si>
  <si>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</si>
  <si>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</si>
  <si>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</si>
  <si>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</si>
  <si>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</si>
  <si>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</si>
  <si>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</si>
  <si>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</si>
  <si>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</si>
  <si>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</si>
  <si>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</si>
  <si>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</si>
  <si>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</si>
  <si>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</si>
  <si>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</si>
  <si>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</si>
  <si>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</si>
  <si>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</si>
  <si>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</si>
  <si>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</si>
  <si>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</si>
  <si>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</si>
  <si>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</si>
  <si>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</si>
  <si>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</si>
  <si>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</si>
  <si>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</si>
  <si>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</si>
  <si>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</si>
  <si>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</si>
  <si>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</si>
  <si>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</si>
  <si>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</si>
  <si>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</si>
  <si>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</si>
  <si>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</si>
  <si>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</si>
  <si>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</si>
  <si>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</si>
  <si>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</si>
  <si>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</si>
  <si>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</si>
  <si>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</si>
  <si>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</si>
  <si>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</si>
  <si>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</si>
  <si>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</si>
  <si>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</si>
  <si>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</si>
  <si>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</si>
  <si>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</si>
  <si>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</si>
  <si>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</si>
  <si>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</si>
  <si>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</si>
  <si>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</si>
  <si>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</si>
  <si>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</si>
  <si>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</si>
  <si>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</si>
  <si>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</si>
  <si>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</si>
  <si>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</si>
  <si>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</si>
  <si>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</si>
  <si>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</si>
  <si>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</si>
  <si>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</si>
  <si>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</si>
  <si>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</si>
  <si>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</si>
  <si>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</si>
  <si>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</si>
  <si>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</si>
  <si>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</si>
  <si>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</si>
  <si>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</si>
  <si>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</si>
  <si>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</si>
  <si>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</si>
  <si>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</si>
  <si>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</si>
  <si>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</si>
  <si>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</si>
  <si>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</si>
  <si>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</si>
  <si>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</si>
  <si>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</si>
  <si>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</si>
  <si>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</si>
  <si>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</si>
  <si>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</si>
  <si>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</si>
  <si>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</si>
  <si>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</si>
  <si>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</si>
  <si>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</si>
  <si>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</si>
  <si>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</si>
  <si>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</si>
  <si>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</si>
  <si>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</si>
  <si>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</si>
  <si>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</si>
  <si>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</si>
  <si>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</si>
  <si>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</si>
  <si>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</si>
  <si>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</si>
  <si>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</si>
  <si>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</si>
  <si>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</si>
  <si>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</si>
  <si>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</si>
  <si>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</si>
  <si>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</si>
  <si>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</si>
  <si>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</si>
  <si>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</si>
  <si>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</si>
  <si>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</si>
  <si>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</si>
  <si>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</si>
  <si>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</si>
  <si>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</si>
  <si>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</si>
  <si>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</si>
  <si>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</si>
  <si>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</si>
  <si>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</si>
  <si>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</si>
  <si>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</si>
  <si>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</si>
  <si>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</si>
  <si>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</si>
  <si>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</si>
  <si>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</si>
  <si>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</si>
  <si>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</si>
  <si>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</si>
  <si>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</si>
  <si>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</si>
  <si>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</si>
  <si>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</si>
  <si>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</si>
  <si>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</si>
  <si>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</si>
  <si>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</si>
  <si>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</si>
  <si>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</si>
  <si>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</si>
  <si>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</si>
  <si>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</si>
  <si>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</si>
  <si>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</si>
  <si>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</si>
  <si>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</si>
  <si>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</si>
  <si>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</si>
  <si>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</si>
  <si>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</si>
  <si>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</si>
  <si>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</si>
  <si>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</si>
  <si>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</si>
  <si>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</si>
  <si>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</si>
  <si>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</si>
  <si>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</si>
  <si>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</si>
  <si>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</si>
  <si>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</si>
  <si>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</si>
  <si>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</si>
  <si>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</si>
  <si>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</si>
  <si>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</si>
  <si>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</si>
  <si>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</si>
  <si>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</si>
  <si>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</si>
  <si>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</si>
  <si>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</si>
  <si>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</si>
  <si>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</si>
  <si>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</si>
  <si>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</si>
  <si>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</si>
  <si>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</si>
  <si>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</si>
  <si>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</si>
  <si>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</si>
  <si>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</si>
  <si>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</si>
  <si>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</si>
  <si>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</si>
  <si>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</si>
  <si>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</si>
  <si>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</si>
  <si>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</si>
  <si>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</si>
  <si>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</si>
  <si>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</si>
  <si>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</si>
  <si>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</si>
  <si>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</si>
  <si>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</si>
  <si>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</si>
  <si>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</si>
  <si>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</si>
  <si>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</si>
  <si>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</si>
  <si>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</si>
  <si>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</si>
  <si>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</si>
  <si>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</si>
  <si>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</si>
  <si>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</si>
  <si>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</si>
  <si>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</si>
  <si>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</si>
  <si>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</si>
  <si>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</si>
  <si>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</si>
  <si>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</si>
  <si>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</si>
  <si>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</si>
  <si>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</si>
  <si>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</si>
  <si>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</si>
  <si>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</si>
  <si>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</si>
  <si>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</si>
  <si>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</si>
  <si>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</si>
  <si>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</si>
  <si>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</si>
  <si>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</si>
  <si>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</si>
  <si>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</si>
  <si>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</si>
  <si>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</si>
  <si>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</si>
  <si>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</si>
  <si>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</si>
  <si>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</si>
  <si>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</si>
  <si>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</si>
  <si>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</si>
  <si>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</si>
  <si>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</si>
  <si>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</si>
  <si>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</si>
  <si>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</si>
  <si>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</si>
  <si>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</si>
  <si>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</si>
  <si>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</si>
  <si>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</si>
  <si>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</si>
  <si>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</si>
  <si>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</si>
  <si>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</si>
  <si>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</si>
  <si>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</si>
  <si>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</si>
  <si>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</si>
  <si>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</si>
  <si>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</si>
  <si>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</si>
  <si>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</si>
  <si>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</si>
  <si>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</si>
  <si>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</si>
  <si>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</si>
  <si>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</si>
  <si>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</si>
  <si>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</si>
  <si>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</si>
  <si>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</si>
  <si>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</si>
  <si>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</si>
  <si>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</si>
  <si>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</si>
  <si>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</si>
  <si>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</si>
  <si>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</si>
  <si>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</si>
  <si>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</si>
  <si>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</si>
  <si>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</si>
  <si>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</si>
  <si>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</si>
  <si>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</si>
  <si>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</si>
  <si>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</si>
  <si>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</si>
  <si>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</si>
  <si>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</si>
  <si>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</si>
  <si>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</si>
  <si>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</si>
  <si>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</si>
  <si>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</si>
  <si>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</si>
  <si>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</si>
  <si>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</si>
  <si>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</si>
  <si>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</si>
  <si>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</si>
  <si>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</si>
  <si>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</si>
  <si>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</si>
  <si>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</si>
  <si>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</si>
  <si>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</si>
  <si>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</si>
  <si>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</si>
  <si>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</si>
  <si>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</si>
  <si>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</si>
  <si>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</si>
  <si>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</si>
  <si>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</si>
  <si>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</si>
  <si>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</si>
  <si>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</si>
  <si>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</si>
  <si>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</si>
  <si>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</si>
  <si>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</si>
  <si>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</si>
  <si>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</si>
  <si>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</si>
  <si>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</si>
  <si>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</si>
  <si>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</si>
  <si>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</si>
  <si>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</si>
  <si>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</si>
  <si>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</si>
  <si>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</si>
  <si>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</si>
  <si>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</si>
  <si>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</si>
  <si>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</si>
  <si>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</si>
  <si>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</si>
  <si>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</si>
  <si>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</si>
  <si>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</si>
  <si>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</si>
  <si>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</si>
  <si>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</si>
  <si>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</si>
  <si>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</si>
  <si>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</si>
  <si>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</si>
  <si>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</si>
  <si>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</si>
  <si>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</si>
  <si>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</si>
  <si>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</si>
  <si>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</si>
  <si>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</si>
  <si>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</si>
  <si>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</si>
  <si>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</si>
  <si>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</si>
  <si>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</si>
  <si>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</si>
  <si>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</si>
  <si>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</si>
  <si>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</si>
  <si>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</si>
  <si>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</si>
  <si>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</si>
  <si>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</si>
  <si>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</si>
  <si>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</si>
  <si>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</si>
  <si>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</si>
  <si>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</si>
  <si>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</si>
  <si>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</si>
  <si>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</si>
  <si>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</si>
  <si>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</si>
  <si>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</si>
  <si>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</si>
  <si>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</si>
  <si>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</si>
  <si>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</si>
  <si>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</si>
  <si>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</si>
  <si>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</si>
  <si>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</si>
  <si>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</si>
  <si>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</si>
  <si>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</si>
  <si>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</si>
  <si>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</si>
  <si>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</si>
  <si>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</si>
  <si>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</si>
  <si>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</si>
  <si>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</si>
  <si>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</si>
  <si>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</si>
  <si>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</si>
  <si>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</si>
  <si>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</si>
  <si>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</si>
  <si>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</si>
  <si>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</si>
  <si>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</si>
  <si>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</si>
  <si>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</si>
  <si>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</si>
  <si>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</si>
  <si>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</si>
  <si>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</si>
  <si>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</si>
  <si>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</si>
  <si>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</si>
  <si>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</si>
  <si>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</si>
  <si>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</si>
  <si>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</si>
  <si>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</si>
  <si>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</si>
  <si>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</si>
  <si>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</si>
  <si>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</si>
  <si>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</si>
  <si>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</si>
  <si>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</si>
  <si>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</si>
  <si>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</si>
  <si>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</si>
  <si>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</si>
  <si>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</si>
  <si>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</si>
  <si>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</si>
  <si>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</si>
  <si>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</si>
  <si>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</si>
  <si>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</si>
  <si>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</si>
  <si>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</si>
  <si>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</si>
  <si>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</si>
  <si>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</si>
  <si>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</si>
  <si>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</si>
  <si>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</si>
  <si>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</si>
  <si>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</si>
  <si>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</si>
  <si>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</si>
  <si>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</si>
  <si>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</si>
  <si>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</si>
  <si>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</si>
  <si>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</si>
  <si>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</si>
  <si>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</si>
  <si>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</si>
  <si>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</si>
  <si>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</si>
  <si>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</si>
  <si>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</si>
  <si>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</si>
  <si>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</si>
  <si>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</si>
  <si>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</si>
  <si>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</si>
  <si>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</si>
  <si>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</si>
  <si>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</si>
  <si>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</si>
  <si>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</si>
  <si>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</si>
  <si>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</si>
  <si>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</si>
  <si>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</si>
  <si>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</si>
  <si>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</si>
  <si>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</si>
  <si>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</si>
  <si>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</si>
  <si>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</si>
  <si>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</si>
  <si>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</si>
  <si>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</si>
  <si>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</si>
  <si>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</si>
  <si>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</si>
  <si>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</si>
  <si>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</si>
  <si>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</si>
  <si>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</si>
  <si>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</si>
  <si>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</si>
  <si>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</si>
  <si>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</si>
  <si>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</si>
  <si>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</si>
  <si>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</si>
  <si>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</si>
  <si>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</si>
  <si>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</si>
  <si>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</si>
  <si>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</si>
  <si>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</si>
  <si>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</si>
  <si>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</si>
  <si>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</si>
  <si>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</si>
  <si>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</si>
  <si>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</si>
  <si>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</si>
  <si>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</si>
  <si>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</si>
  <si>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</si>
  <si>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</si>
  <si>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</si>
  <si>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</si>
  <si>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</si>
  <si>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</si>
  <si>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</si>
  <si>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</si>
  <si>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</si>
  <si>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</si>
  <si>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</si>
  <si>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</si>
  <si>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</si>
  <si>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</si>
  <si>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</si>
  <si>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</si>
  <si>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</si>
  <si>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</si>
  <si>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</si>
  <si>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</si>
  <si>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</si>
  <si>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</si>
  <si>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</si>
  <si>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</si>
  <si>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</si>
  <si>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</si>
  <si>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</si>
  <si>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</si>
  <si>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</si>
  <si>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</si>
  <si>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</si>
  <si>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</si>
  <si>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</si>
  <si>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</si>
  <si>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</si>
  <si>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</si>
  <si>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</si>
  <si>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</si>
  <si>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</si>
  <si>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</si>
  <si>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</si>
  <si>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</si>
  <si>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</si>
  <si>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</si>
  <si>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</si>
  <si>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</si>
  <si>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</si>
  <si>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</si>
  <si>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</si>
  <si>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</si>
  <si>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</si>
  <si>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</si>
  <si>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</si>
  <si>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</si>
  <si>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</si>
  <si>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</si>
  <si>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</si>
  <si>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</si>
  <si>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</si>
  <si>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</si>
  <si>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</si>
  <si>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</si>
  <si>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</si>
  <si>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</si>
  <si>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</si>
  <si>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</si>
  <si>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</si>
  <si>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</si>
  <si>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</si>
  <si>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</si>
  <si>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</si>
  <si>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</si>
  <si>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</si>
  <si>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</si>
  <si>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</si>
  <si>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</si>
  <si>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</si>
  <si>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</si>
  <si>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</si>
  <si>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</si>
  <si>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</si>
  <si>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</si>
  <si>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</si>
  <si>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</si>
  <si>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</si>
  <si>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</si>
  <si>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</si>
  <si>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</si>
  <si>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</si>
  <si>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</si>
  <si>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</si>
  <si>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</si>
  <si>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</si>
  <si>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</si>
  <si>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</si>
  <si>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</si>
  <si>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</si>
  <si>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</si>
  <si>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</si>
  <si>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</si>
  <si>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</si>
  <si>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</si>
  <si>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</si>
  <si>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</si>
  <si>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</si>
  <si>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</si>
  <si>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</si>
  <si>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</si>
  <si>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</si>
  <si>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</si>
  <si>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</si>
  <si>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</si>
  <si>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</si>
  <si>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</si>
  <si>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</si>
  <si>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</si>
  <si>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</si>
  <si>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</si>
  <si>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</si>
  <si>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</si>
  <si>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</si>
  <si>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</si>
  <si>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</si>
  <si>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</si>
  <si>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</si>
  <si>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</si>
  <si>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</si>
  <si>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</si>
  <si>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</si>
  <si>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</si>
  <si>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</si>
  <si>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</si>
  <si>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</si>
  <si>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</si>
  <si>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</si>
  <si>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</si>
  <si>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</si>
  <si>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</si>
  <si>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</si>
  <si>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</si>
  <si>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</si>
  <si>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</si>
  <si>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</si>
  <si>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</si>
  <si>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</si>
  <si>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</si>
  <si>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</si>
  <si>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</si>
  <si>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</si>
  <si>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</si>
  <si>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</si>
  <si>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</si>
  <si>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</si>
  <si>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</si>
  <si>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</si>
  <si>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</si>
  <si>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</si>
  <si>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</si>
  <si>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</si>
  <si>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</si>
  <si>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</si>
  <si>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</si>
  <si>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</si>
  <si>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</si>
  <si>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</si>
  <si>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</si>
  <si>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</si>
  <si>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</si>
  <si>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</si>
  <si>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</si>
  <si>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</si>
  <si>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</si>
  <si>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</si>
  <si>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</si>
  <si>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</si>
  <si>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</si>
  <si>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</si>
  <si>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</si>
  <si>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</si>
  <si>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</si>
  <si>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</si>
  <si>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</si>
  <si>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</si>
  <si>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</si>
  <si>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</si>
  <si>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</si>
  <si>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</si>
  <si>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</si>
  <si>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</si>
  <si>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</si>
  <si>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</si>
  <si>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</si>
  <si>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</si>
  <si>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</si>
  <si>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</si>
  <si>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</si>
  <si>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</si>
  <si>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</si>
  <si>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</si>
  <si>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37011</t>
  </si>
  <si>
    <t>PITTEM</t>
  </si>
  <si>
    <t>Paarden&amp;pony's 200 - 600 kg</t>
  </si>
  <si>
    <t>Paarden&amp;pony's &lt; 200 kg</t>
  </si>
  <si>
    <t>op basis van VEA (maart 2018) en Inventaris Hernieuwbare Energiebronnen (juni 2018)</t>
  </si>
  <si>
    <t>VEA (juni 2018)</t>
  </si>
  <si>
    <t>Green Power Pittem nv</t>
  </si>
  <si>
    <t>Koolkenstraat 9 , 8740 Pittem</t>
  </si>
  <si>
    <t>WKK-0236 Green Power Pittem</t>
  </si>
  <si>
    <t>interne verbrandingsmotor</t>
  </si>
  <si>
    <t>WKK interne verbrandinsgmotor (gas)</t>
  </si>
  <si>
    <t>Vijfstraat 8 , 8740 Pittem</t>
  </si>
  <si>
    <t>GASELWEST</t>
  </si>
  <si>
    <t>Handelskwekerij Vantyghem bvba</t>
  </si>
  <si>
    <t>Kasteeldreef 16 , 8740 Pittem</t>
  </si>
  <si>
    <t>WKK-0321 Handelskwekerij Vantyghem</t>
  </si>
  <si>
    <t>Ampower bvba</t>
  </si>
  <si>
    <t>Brugsesteenweg 166 , 8740 Pittem</t>
  </si>
  <si>
    <t>WKK-0411 Ampower</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</si>
</sst>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37011</v>
      </c>
      <c r="B6" s="397"/>
      <c r="C6" s="398"/>
    </row>
    <row r="7" spans="1:7" s="395" customFormat="1" ht="15.75" customHeight="1">
      <c r="A7" s="399" t="str">
        <f>txtMunicipality</f>
        <v>PITTEM</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37011</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2652</v>
      </c>
      <c r="C9" s="338">
        <v>2666</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2504</v>
      </c>
    </row>
    <row r="15" spans="1:6">
      <c r="A15" s="1205" t="s">
        <v>184</v>
      </c>
      <c r="B15" s="335">
        <v>22</v>
      </c>
    </row>
    <row r="16" spans="1:6">
      <c r="A16" s="1205" t="s">
        <v>6</v>
      </c>
      <c r="B16" s="335">
        <v>620</v>
      </c>
    </row>
    <row r="17" spans="1:6">
      <c r="A17" s="1205" t="s">
        <v>7</v>
      </c>
      <c r="B17" s="335">
        <v>899</v>
      </c>
    </row>
    <row r="18" spans="1:6">
      <c r="A18" s="1205" t="s">
        <v>8</v>
      </c>
      <c r="B18" s="335">
        <v>978</v>
      </c>
    </row>
    <row r="19" spans="1:6">
      <c r="A19" s="1205" t="s">
        <v>9</v>
      </c>
      <c r="B19" s="335">
        <v>1014</v>
      </c>
    </row>
    <row r="20" spans="1:6">
      <c r="A20" s="1205" t="s">
        <v>10</v>
      </c>
      <c r="B20" s="335">
        <v>733</v>
      </c>
    </row>
    <row r="21" spans="1:6">
      <c r="A21" s="1205" t="s">
        <v>11</v>
      </c>
      <c r="B21" s="335">
        <v>42150</v>
      </c>
    </row>
    <row r="22" spans="1:6">
      <c r="A22" s="1205" t="s">
        <v>12</v>
      </c>
      <c r="B22" s="335">
        <v>66919</v>
      </c>
    </row>
    <row r="23" spans="1:6">
      <c r="A23" s="1205" t="s">
        <v>13</v>
      </c>
      <c r="B23" s="335">
        <v>2536</v>
      </c>
    </row>
    <row r="24" spans="1:6">
      <c r="A24" s="1205" t="s">
        <v>14</v>
      </c>
      <c r="B24" s="335">
        <v>130</v>
      </c>
    </row>
    <row r="25" spans="1:6">
      <c r="A25" s="1205" t="s">
        <v>15</v>
      </c>
      <c r="B25" s="335">
        <v>10987</v>
      </c>
    </row>
    <row r="26" spans="1:6">
      <c r="A26" s="1205" t="s">
        <v>16</v>
      </c>
      <c r="B26" s="335">
        <v>155</v>
      </c>
    </row>
    <row r="27" spans="1:6">
      <c r="A27" s="1205" t="s">
        <v>17</v>
      </c>
      <c r="B27" s="335">
        <v>0</v>
      </c>
    </row>
    <row r="28" spans="1:6" s="341" customFormat="1">
      <c r="A28" s="1206" t="s">
        <v>18</v>
      </c>
      <c r="B28" s="1206">
        <v>206637</v>
      </c>
    </row>
    <row r="29" spans="1:6">
      <c r="A29" s="1206" t="s">
        <v>873</v>
      </c>
      <c r="B29" s="1206">
        <v>55</v>
      </c>
      <c r="C29" s="341"/>
      <c r="D29" s="341"/>
      <c r="E29" s="341"/>
      <c r="F29" s="341"/>
    </row>
    <row r="30" spans="1:6">
      <c r="A30" s="1201" t="s">
        <v>874</v>
      </c>
      <c r="B30" s="1201">
        <v>5</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3</v>
      </c>
      <c r="F36" s="335">
        <v>45508.186955664802</v>
      </c>
    </row>
    <row r="37" spans="1:6">
      <c r="A37" s="1205" t="s">
        <v>25</v>
      </c>
      <c r="B37" s="1205" t="s">
        <v>28</v>
      </c>
      <c r="C37" s="335">
        <v>0</v>
      </c>
      <c r="D37" s="335">
        <v>0</v>
      </c>
      <c r="E37" s="335">
        <v>0</v>
      </c>
      <c r="F37" s="335">
        <v>0</v>
      </c>
    </row>
    <row r="38" spans="1:6">
      <c r="A38" s="1205" t="s">
        <v>25</v>
      </c>
      <c r="B38" s="1205" t="s">
        <v>29</v>
      </c>
      <c r="C38" s="335">
        <v>0</v>
      </c>
      <c r="D38" s="335">
        <v>0</v>
      </c>
      <c r="E38" s="335">
        <v>4</v>
      </c>
      <c r="F38" s="335">
        <v>164871.101473299</v>
      </c>
    </row>
    <row r="39" spans="1:6">
      <c r="A39" s="1205" t="s">
        <v>30</v>
      </c>
      <c r="B39" s="1205" t="s">
        <v>31</v>
      </c>
      <c r="C39" s="335">
        <v>1462</v>
      </c>
      <c r="D39" s="335">
        <v>26363746.449531902</v>
      </c>
      <c r="E39" s="335">
        <v>2392</v>
      </c>
      <c r="F39" s="335">
        <v>10738605.2836578</v>
      </c>
    </row>
    <row r="40" spans="1:6">
      <c r="A40" s="1205" t="s">
        <v>30</v>
      </c>
      <c r="B40" s="1205" t="s">
        <v>29</v>
      </c>
      <c r="C40" s="335">
        <v>0</v>
      </c>
      <c r="D40" s="335">
        <v>0</v>
      </c>
      <c r="E40" s="335">
        <v>0</v>
      </c>
      <c r="F40" s="335">
        <v>0</v>
      </c>
    </row>
    <row r="41" spans="1:6">
      <c r="A41" s="1205" t="s">
        <v>32</v>
      </c>
      <c r="B41" s="1205" t="s">
        <v>33</v>
      </c>
      <c r="C41" s="335">
        <v>25</v>
      </c>
      <c r="D41" s="335">
        <v>642577.307279523</v>
      </c>
      <c r="E41" s="335">
        <v>77</v>
      </c>
      <c r="F41" s="335">
        <v>1455360.2702196499</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19</v>
      </c>
      <c r="F44" s="335">
        <v>815281.11297968205</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27</v>
      </c>
      <c r="D48" s="335">
        <v>1724766.4668807101</v>
      </c>
      <c r="E48" s="335">
        <v>43</v>
      </c>
      <c r="F48" s="335">
        <v>9244984.3987641502</v>
      </c>
    </row>
    <row r="49" spans="1:6">
      <c r="A49" s="1205" t="s">
        <v>32</v>
      </c>
      <c r="B49" s="1205" t="s">
        <v>40</v>
      </c>
      <c r="C49" s="335">
        <v>0</v>
      </c>
      <c r="D49" s="335">
        <v>0</v>
      </c>
      <c r="E49" s="335">
        <v>0</v>
      </c>
      <c r="F49" s="335">
        <v>0</v>
      </c>
    </row>
    <row r="50" spans="1:6">
      <c r="A50" s="1205" t="s">
        <v>32</v>
      </c>
      <c r="B50" s="1205" t="s">
        <v>41</v>
      </c>
      <c r="C50" s="335">
        <v>4</v>
      </c>
      <c r="D50" s="335">
        <v>190401.99028019799</v>
      </c>
      <c r="E50" s="335">
        <v>4</v>
      </c>
      <c r="F50" s="335">
        <v>211897.95881531399</v>
      </c>
    </row>
    <row r="51" spans="1:6">
      <c r="A51" s="1205" t="s">
        <v>42</v>
      </c>
      <c r="B51" s="1205" t="s">
        <v>43</v>
      </c>
      <c r="C51" s="335">
        <v>15</v>
      </c>
      <c r="D51" s="335">
        <v>1636719.4703647001</v>
      </c>
      <c r="E51" s="335">
        <v>204</v>
      </c>
      <c r="F51" s="335">
        <v>6478844.8741051499</v>
      </c>
    </row>
    <row r="52" spans="1:6">
      <c r="A52" s="1205" t="s">
        <v>42</v>
      </c>
      <c r="B52" s="1205" t="s">
        <v>29</v>
      </c>
      <c r="C52" s="335">
        <v>4</v>
      </c>
      <c r="D52" s="335">
        <v>1564626.37861156</v>
      </c>
      <c r="E52" s="335">
        <v>7</v>
      </c>
      <c r="F52" s="335">
        <v>435615.77398860001</v>
      </c>
    </row>
    <row r="53" spans="1:6">
      <c r="A53" s="1205" t="s">
        <v>44</v>
      </c>
      <c r="B53" s="1205" t="s">
        <v>45</v>
      </c>
      <c r="C53" s="335">
        <v>34</v>
      </c>
      <c r="D53" s="335">
        <v>848931.16512494395</v>
      </c>
      <c r="E53" s="335">
        <v>60</v>
      </c>
      <c r="F53" s="335">
        <v>723139.60593044502</v>
      </c>
    </row>
    <row r="54" spans="1:6">
      <c r="A54" s="1205" t="s">
        <v>46</v>
      </c>
      <c r="B54" s="1205" t="s">
        <v>47</v>
      </c>
      <c r="C54" s="335">
        <v>0</v>
      </c>
      <c r="D54" s="335">
        <v>0</v>
      </c>
      <c r="E54" s="335">
        <v>1</v>
      </c>
      <c r="F54" s="335">
        <v>642761</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17</v>
      </c>
      <c r="D57" s="335">
        <v>752044.54981873103</v>
      </c>
      <c r="E57" s="335">
        <v>55</v>
      </c>
      <c r="F57" s="335">
        <v>1338299.0359589099</v>
      </c>
    </row>
    <row r="58" spans="1:6">
      <c r="A58" s="1205" t="s">
        <v>49</v>
      </c>
      <c r="B58" s="1205" t="s">
        <v>51</v>
      </c>
      <c r="C58" s="335">
        <v>10</v>
      </c>
      <c r="D58" s="335">
        <v>311564.29539676203</v>
      </c>
      <c r="E58" s="335">
        <v>13</v>
      </c>
      <c r="F58" s="335">
        <v>104814.427033089</v>
      </c>
    </row>
    <row r="59" spans="1:6">
      <c r="A59" s="1205" t="s">
        <v>49</v>
      </c>
      <c r="B59" s="1205" t="s">
        <v>52</v>
      </c>
      <c r="C59" s="335">
        <v>34</v>
      </c>
      <c r="D59" s="335">
        <v>5695015.8990176497</v>
      </c>
      <c r="E59" s="335">
        <v>96</v>
      </c>
      <c r="F59" s="335">
        <v>6877977.0700463802</v>
      </c>
    </row>
    <row r="60" spans="1:6">
      <c r="A60" s="1205" t="s">
        <v>49</v>
      </c>
      <c r="B60" s="1205" t="s">
        <v>53</v>
      </c>
      <c r="C60" s="335">
        <v>11</v>
      </c>
      <c r="D60" s="335">
        <v>591351.28338647203</v>
      </c>
      <c r="E60" s="335">
        <v>23</v>
      </c>
      <c r="F60" s="335">
        <v>479661.89548489498</v>
      </c>
    </row>
    <row r="61" spans="1:6">
      <c r="A61" s="1205" t="s">
        <v>49</v>
      </c>
      <c r="B61" s="1205" t="s">
        <v>54</v>
      </c>
      <c r="C61" s="335">
        <v>23</v>
      </c>
      <c r="D61" s="335">
        <v>2424575.1525498498</v>
      </c>
      <c r="E61" s="335">
        <v>61</v>
      </c>
      <c r="F61" s="335">
        <v>2713488.0395015599</v>
      </c>
    </row>
    <row r="62" spans="1:6">
      <c r="A62" s="1205" t="s">
        <v>49</v>
      </c>
      <c r="B62" s="1205" t="s">
        <v>55</v>
      </c>
      <c r="C62" s="335">
        <v>4</v>
      </c>
      <c r="D62" s="335">
        <v>480579.53587995598</v>
      </c>
      <c r="E62" s="335">
        <v>4</v>
      </c>
      <c r="F62" s="335">
        <v>34645.510872981198</v>
      </c>
    </row>
    <row r="63" spans="1:6">
      <c r="A63" s="1205" t="s">
        <v>49</v>
      </c>
      <c r="B63" s="1205" t="s">
        <v>29</v>
      </c>
      <c r="C63" s="335">
        <v>60</v>
      </c>
      <c r="D63" s="335">
        <v>5177405.3690686598</v>
      </c>
      <c r="E63" s="335">
        <v>76</v>
      </c>
      <c r="F63" s="335">
        <v>2599308.4469924401</v>
      </c>
    </row>
    <row r="64" spans="1:6">
      <c r="A64" s="1205" t="s">
        <v>56</v>
      </c>
      <c r="B64" s="1205" t="s">
        <v>57</v>
      </c>
      <c r="C64" s="335">
        <v>0</v>
      </c>
      <c r="D64" s="335">
        <v>0</v>
      </c>
      <c r="E64" s="335">
        <v>0</v>
      </c>
      <c r="F64" s="335">
        <v>0</v>
      </c>
    </row>
    <row r="65" spans="1:6">
      <c r="A65" s="1205" t="s">
        <v>56</v>
      </c>
      <c r="B65" s="1205" t="s">
        <v>29</v>
      </c>
      <c r="C65" s="335">
        <v>0</v>
      </c>
      <c r="D65" s="335">
        <v>0</v>
      </c>
      <c r="E65" s="335">
        <v>0</v>
      </c>
      <c r="F65" s="335">
        <v>0</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4</v>
      </c>
      <c r="D68" s="335">
        <v>119945.91110483</v>
      </c>
      <c r="E68" s="335">
        <v>18</v>
      </c>
      <c r="F68" s="335">
        <v>261498.223081634</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55742656</v>
      </c>
      <c r="E73" s="335">
        <v>41625859.037165083</v>
      </c>
    </row>
    <row r="74" spans="1:6">
      <c r="A74" s="1205" t="s">
        <v>64</v>
      </c>
      <c r="B74" s="1205" t="s">
        <v>772</v>
      </c>
      <c r="C74" s="1216" t="s">
        <v>766</v>
      </c>
      <c r="D74" s="335">
        <v>6342958.4279810376</v>
      </c>
      <c r="E74" s="335">
        <v>4927451.3497082666</v>
      </c>
    </row>
    <row r="75" spans="1:6">
      <c r="A75" s="1205" t="s">
        <v>65</v>
      </c>
      <c r="B75" s="1205" t="s">
        <v>771</v>
      </c>
      <c r="C75" s="1216" t="s">
        <v>767</v>
      </c>
      <c r="D75" s="335">
        <v>9529267</v>
      </c>
      <c r="E75" s="335">
        <v>7196429.7015304016</v>
      </c>
    </row>
    <row r="76" spans="1:6">
      <c r="A76" s="1205" t="s">
        <v>65</v>
      </c>
      <c r="B76" s="1205" t="s">
        <v>772</v>
      </c>
      <c r="C76" s="1216" t="s">
        <v>768</v>
      </c>
      <c r="D76" s="335">
        <v>1100169.4279810379</v>
      </c>
      <c r="E76" s="335">
        <v>851540.9870419678</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181191.14403792415</v>
      </c>
      <c r="C83" s="335">
        <v>171016.95981809375</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1845.578541571585</v>
      </c>
    </row>
    <row r="92" spans="1:6">
      <c r="A92" s="1201" t="s">
        <v>69</v>
      </c>
      <c r="B92" s="338">
        <v>2091.3055268137136</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1016</v>
      </c>
    </row>
    <row r="98" spans="1:6">
      <c r="A98" s="1205" t="s">
        <v>72</v>
      </c>
      <c r="B98" s="335">
        <v>1</v>
      </c>
    </row>
    <row r="99" spans="1:6">
      <c r="A99" s="1205" t="s">
        <v>73</v>
      </c>
      <c r="B99" s="335">
        <v>73</v>
      </c>
    </row>
    <row r="100" spans="1:6">
      <c r="A100" s="1205" t="s">
        <v>74</v>
      </c>
      <c r="B100" s="335">
        <v>183</v>
      </c>
    </row>
    <row r="101" spans="1:6">
      <c r="A101" s="1205" t="s">
        <v>75</v>
      </c>
      <c r="B101" s="335">
        <v>65</v>
      </c>
    </row>
    <row r="102" spans="1:6">
      <c r="A102" s="1205" t="s">
        <v>76</v>
      </c>
      <c r="B102" s="335">
        <v>48</v>
      </c>
    </row>
    <row r="103" spans="1:6">
      <c r="A103" s="1205" t="s">
        <v>77</v>
      </c>
      <c r="B103" s="335">
        <v>98</v>
      </c>
    </row>
    <row r="104" spans="1:6">
      <c r="A104" s="1205" t="s">
        <v>78</v>
      </c>
      <c r="B104" s="335">
        <v>920</v>
      </c>
    </row>
    <row r="105" spans="1:6">
      <c r="A105" s="1201" t="s">
        <v>79</v>
      </c>
      <c r="B105" s="1201">
        <v>2</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6</v>
      </c>
      <c r="C123" s="335">
        <v>5</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12</v>
      </c>
    </row>
    <row r="130" spans="1:6">
      <c r="A130" s="1205" t="s">
        <v>295</v>
      </c>
      <c r="B130" s="335">
        <v>0</v>
      </c>
    </row>
    <row r="131" spans="1:6">
      <c r="A131" s="1205" t="s">
        <v>296</v>
      </c>
      <c r="B131" s="335">
        <v>0</v>
      </c>
    </row>
    <row r="132" spans="1:6">
      <c r="A132" s="1201" t="s">
        <v>297</v>
      </c>
      <c r="B132" s="338">
        <v>1</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46018.49696312334</v>
      </c>
      <c r="C3" s="44" t="s">
        <v>170</v>
      </c>
      <c r="D3" s="44"/>
      <c r="E3" s="157"/>
      <c r="F3" s="44"/>
      <c r="G3" s="44"/>
      <c r="H3" s="44"/>
      <c r="I3" s="44"/>
      <c r="J3" s="44"/>
      <c r="K3" s="97"/>
    </row>
    <row r="4" spans="1:11">
      <c r="A4" s="365" t="s">
        <v>171</v>
      </c>
      <c r="B4" s="50">
        <f>IF(ISERROR('SEAP template'!B69),0,'SEAP template'!B69)</f>
        <v>26288.384068385298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3199.68</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0.16428252656307527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4570.971428571429</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31930.714285714286</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0.14315280853633985</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642.76099999999997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642.76099999999997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0.16428252656307527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105.59440105620881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10738.6052836578</v>
      </c>
      <c r="C5" s="18">
        <f>IF(ISERROR('Eigen informatie GS &amp; warmtenet'!B57),0,'Eigen informatie GS &amp; warmtenet'!B57)</f>
        <v>0</v>
      </c>
      <c r="D5" s="31">
        <f>(SUM(HH_hh_gas_kWh,HH_rest_gas_kWh)/1000)*0.902</f>
        <v>23780.099297477773</v>
      </c>
      <c r="E5" s="18">
        <f>B46*B57</f>
        <v>3061.965381807513</v>
      </c>
      <c r="F5" s="18">
        <f>B51*B62</f>
        <v>10237.103992605789</v>
      </c>
      <c r="G5" s="19"/>
      <c r="H5" s="18"/>
      <c r="I5" s="18"/>
      <c r="J5" s="18">
        <f>B50*B61+C50*C61</f>
        <v>1685.1448050686386</v>
      </c>
      <c r="K5" s="18"/>
      <c r="L5" s="18"/>
      <c r="M5" s="18"/>
      <c r="N5" s="18">
        <f>B48*B59+C48*C59</f>
        <v>8854.1241520037929</v>
      </c>
      <c r="O5" s="18">
        <f>B69*B70*B71</f>
        <v>26.576666666666668</v>
      </c>
      <c r="P5" s="18">
        <f>B77*B78*B79/1000-B77*B78*B79/1000/B80</f>
        <v>133.46666666666667</v>
      </c>
    </row>
    <row r="6" spans="1:16">
      <c r="A6" s="17" t="s">
        <v>639</v>
      </c>
      <c r="B6" s="831">
        <f>kWh_PV_kleiner_dan_10kW</f>
        <v>1845.578541571585</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12584.183825229386</v>
      </c>
      <c r="C8" s="22">
        <f>C5</f>
        <v>0</v>
      </c>
      <c r="D8" s="22">
        <f>D5</f>
        <v>23780.099297477773</v>
      </c>
      <c r="E8" s="22">
        <f>E5</f>
        <v>3061.965381807513</v>
      </c>
      <c r="F8" s="22">
        <f>F5</f>
        <v>10237.103992605789</v>
      </c>
      <c r="G8" s="22"/>
      <c r="H8" s="22"/>
      <c r="I8" s="22"/>
      <c r="J8" s="22">
        <f>J5</f>
        <v>1685.1448050686386</v>
      </c>
      <c r="K8" s="22"/>
      <c r="L8" s="22">
        <f>L5</f>
        <v>0</v>
      </c>
      <c r="M8" s="22">
        <f>M5</f>
        <v>0</v>
      </c>
      <c r="N8" s="22">
        <f>N5</f>
        <v>8854.1241520037929</v>
      </c>
      <c r="O8" s="22">
        <f>O5</f>
        <v>26.576666666666668</v>
      </c>
      <c r="P8" s="22">
        <f>P5</f>
        <v>133.46666666666667</v>
      </c>
    </row>
    <row r="9" spans="1:16">
      <c r="B9" s="20"/>
      <c r="C9" s="20"/>
      <c r="D9" s="262"/>
      <c r="E9" s="20"/>
      <c r="F9" s="20"/>
      <c r="G9" s="20"/>
      <c r="H9" s="20"/>
      <c r="I9" s="20"/>
      <c r="J9" s="20"/>
      <c r="K9" s="20"/>
      <c r="L9" s="20"/>
      <c r="M9" s="20"/>
      <c r="N9" s="20"/>
      <c r="O9" s="20"/>
      <c r="P9" s="20"/>
    </row>
    <row r="10" spans="1:16">
      <c r="A10" s="25" t="s">
        <v>214</v>
      </c>
      <c r="B10" s="26">
        <f ca="1">'EF ele_warmte'!B12</f>
        <v>0.16428252656307527</v>
      </c>
      <c r="C10" s="26">
        <f ca="1">'EF ele_warmte'!B22</f>
        <v>0.14315280853633985</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2067.3615135428686</v>
      </c>
      <c r="C12" s="24">
        <f ca="1">C10*C8</f>
        <v>0</v>
      </c>
      <c r="D12" s="24">
        <f>D8*D10</f>
        <v>4803.5800580905106</v>
      </c>
      <c r="E12" s="24">
        <f>E10*E8</f>
        <v>695.06614167030546</v>
      </c>
      <c r="F12" s="24">
        <f>F10*F8</f>
        <v>2733.3067660257457</v>
      </c>
      <c r="G12" s="24"/>
      <c r="H12" s="24"/>
      <c r="I12" s="24"/>
      <c r="J12" s="24">
        <f>J10*J8</f>
        <v>596.541260994298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1016</v>
      </c>
      <c r="C18" s="169" t="s">
        <v>111</v>
      </c>
      <c r="D18" s="231"/>
      <c r="E18" s="16"/>
    </row>
    <row r="19" spans="1:7">
      <c r="A19" s="174" t="s">
        <v>72</v>
      </c>
      <c r="B19" s="38">
        <f>aantalw2001_ander</f>
        <v>1</v>
      </c>
      <c r="C19" s="169" t="s">
        <v>111</v>
      </c>
      <c r="D19" s="232"/>
      <c r="E19" s="16"/>
    </row>
    <row r="20" spans="1:7">
      <c r="A20" s="174" t="s">
        <v>73</v>
      </c>
      <c r="B20" s="38">
        <f>aantalw2001_propaan</f>
        <v>73</v>
      </c>
      <c r="C20" s="170">
        <f>IF(ISERROR(B20/SUM($B$20,$B$21,$B$22)*100),0,B20/SUM($B$20,$B$21,$B$22)*100)</f>
        <v>22.741433021806852</v>
      </c>
      <c r="D20" s="232"/>
      <c r="E20" s="16"/>
    </row>
    <row r="21" spans="1:7">
      <c r="A21" s="174" t="s">
        <v>74</v>
      </c>
      <c r="B21" s="38">
        <f>aantalw2001_elektriciteit</f>
        <v>183</v>
      </c>
      <c r="C21" s="170">
        <f>IF(ISERROR(B21/SUM($B$20,$B$21,$B$22)*100),0,B21/SUM($B$20,$B$21,$B$22)*100)</f>
        <v>57.009345794392516</v>
      </c>
      <c r="D21" s="232"/>
      <c r="E21" s="16"/>
    </row>
    <row r="22" spans="1:7">
      <c r="A22" s="174" t="s">
        <v>75</v>
      </c>
      <c r="B22" s="38">
        <f>aantalw2001_hout</f>
        <v>65</v>
      </c>
      <c r="C22" s="170">
        <f>IF(ISERROR(B22/SUM($B$20,$B$21,$B$22)*100),0,B22/SUM($B$20,$B$21,$B$22)*100)</f>
        <v>20.249221183800621</v>
      </c>
      <c r="D22" s="232"/>
      <c r="E22" s="16"/>
    </row>
    <row r="23" spans="1:7">
      <c r="A23" s="174" t="s">
        <v>76</v>
      </c>
      <c r="B23" s="38">
        <f>aantalw2001_niet_gespec</f>
        <v>48</v>
      </c>
      <c r="C23" s="169" t="s">
        <v>111</v>
      </c>
      <c r="D23" s="231"/>
      <c r="E23" s="16"/>
    </row>
    <row r="24" spans="1:7">
      <c r="A24" s="174" t="s">
        <v>77</v>
      </c>
      <c r="B24" s="38">
        <f>aantalw2001_steenkool</f>
        <v>98</v>
      </c>
      <c r="C24" s="169" t="s">
        <v>111</v>
      </c>
      <c r="D24" s="232"/>
      <c r="E24" s="16"/>
    </row>
    <row r="25" spans="1:7">
      <c r="A25" s="174" t="s">
        <v>78</v>
      </c>
      <c r="B25" s="38">
        <f>aantalw2001_stookolie</f>
        <v>920</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2652</v>
      </c>
      <c r="C28" s="37"/>
      <c r="D28" s="231"/>
    </row>
    <row r="29" spans="1:7" s="16" customFormat="1">
      <c r="A29" s="233" t="s">
        <v>666</v>
      </c>
      <c r="B29" s="38">
        <f>SUM(HH_hh_gas_aantal,HH_rest_gas_aantal)</f>
        <v>1462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1462</v>
      </c>
      <c r="C32" s="170">
        <f>IF(ISERROR(B32/SUM($B$32,$B$34,$B$35,$B$36,$B$38,$B$39)*100),0,B32/SUM($B$32,$B$34,$B$35,$B$36,$B$38,$B$39)*100)</f>
        <v>55.274102079395085</v>
      </c>
      <c r="D32" s="236"/>
      <c r="G32" s="16"/>
    </row>
    <row r="33" spans="1:7">
      <c r="A33" s="174" t="s">
        <v>72</v>
      </c>
      <c r="B33" s="35" t="s">
        <v>111</v>
      </c>
      <c r="C33" s="170"/>
      <c r="D33" s="236"/>
      <c r="G33" s="16"/>
    </row>
    <row r="34" spans="1:7">
      <c r="A34" s="174" t="s">
        <v>73</v>
      </c>
      <c r="B34" s="34">
        <f>IF((($B$28-$B$32-$B$39-$B$77-$B$38)*C20/100)&lt;0,0,($B$28-$B$32-$B$39-$B$77-$B$38)*C20/100)</f>
        <v>138.95015576323988</v>
      </c>
      <c r="C34" s="170">
        <f>IF(ISERROR(B34/SUM($B$32,$B$34,$B$35,$B$36,$B$38,$B$39)*100),0,B34/SUM($B$32,$B$34,$B$35,$B$36,$B$38,$B$39)*100)</f>
        <v>5.2533140175137953</v>
      </c>
      <c r="D34" s="236"/>
      <c r="G34" s="16"/>
    </row>
    <row r="35" spans="1:7">
      <c r="A35" s="174" t="s">
        <v>74</v>
      </c>
      <c r="B35" s="34">
        <f>IF((($B$28-$B$32-$B$39-$B$77-$B$38)*C21/100)&lt;0,0,($B$28-$B$32-$B$39-$B$77-$B$38)*C21/100)</f>
        <v>348.32710280373828</v>
      </c>
      <c r="C35" s="170">
        <f>IF(ISERROR(B35/SUM($B$32,$B$34,$B$35,$B$36,$B$38,$B$39)*100),0,B35/SUM($B$32,$B$34,$B$35,$B$36,$B$38,$B$39)*100)</f>
        <v>13.16926664664417</v>
      </c>
      <c r="D35" s="236"/>
      <c r="G35" s="16"/>
    </row>
    <row r="36" spans="1:7">
      <c r="A36" s="174" t="s">
        <v>75</v>
      </c>
      <c r="B36" s="34">
        <f>IF((($B$28-$B$32-$B$39-$B$77-$B$38)*C22/100)&lt;0,0,($B$28-$B$32-$B$39-$B$77-$B$38)*C22/100)</f>
        <v>123.72274143302182</v>
      </c>
      <c r="C36" s="170">
        <f>IF(ISERROR(B36/SUM($B$32,$B$34,$B$35,$B$36,$B$38,$B$39)*100),0,B36/SUM($B$32,$B$34,$B$35,$B$36,$B$38,$B$39)*100)</f>
        <v>4.6776083717588586</v>
      </c>
      <c r="D36" s="236"/>
      <c r="G36" s="16"/>
    </row>
    <row r="37" spans="1:7">
      <c r="A37" s="174" t="s">
        <v>76</v>
      </c>
      <c r="B37" s="35" t="s">
        <v>111</v>
      </c>
      <c r="C37" s="170"/>
      <c r="D37" s="176"/>
      <c r="G37" s="16"/>
    </row>
    <row r="38" spans="1:7">
      <c r="A38" s="174" t="s">
        <v>77</v>
      </c>
      <c r="B38" s="34">
        <f>IF((B24-(B29-B18)*0.1)&lt;0,0,B24-(B29-B18)*0.1)</f>
        <v>53.4</v>
      </c>
      <c r="C38" s="170">
        <f>IF(ISERROR(B38/SUM($B$32,$B$34,$B$35,$B$36,$B$38,$B$39)*100),0,B38/SUM($B$32,$B$34,$B$35,$B$36,$B$38,$B$39)*100)</f>
        <v>2.0189035916824198</v>
      </c>
      <c r="D38" s="237"/>
      <c r="G38" s="16"/>
    </row>
    <row r="39" spans="1:7">
      <c r="A39" s="174" t="s">
        <v>78</v>
      </c>
      <c r="B39" s="34">
        <f>IF((B25-(B29-B18))&lt;0,0,B25-(B29-B18)*0.9)</f>
        <v>518.59999999999991</v>
      </c>
      <c r="C39" s="170">
        <f>IF(ISERROR(B39/SUM($B$32,$B$34,$B$35,$B$36,$B$38,$B$39)*100),0,B39/SUM($B$32,$B$34,$B$35,$B$36,$B$38,$B$39)*100)</f>
        <v>19.606805293005667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1462</v>
      </c>
      <c r="C44" s="35" t="s">
        <v>111</v>
      </c>
      <c r="D44" s="177"/>
    </row>
    <row r="45" spans="1:7">
      <c r="A45" s="174" t="s">
        <v>72</v>
      </c>
      <c r="B45" s="34" t="str">
        <f t="shared" si="0"/>
        <v>-</v>
      </c>
      <c r="C45" s="35" t="s">
        <v>111</v>
      </c>
      <c r="D45" s="177"/>
    </row>
    <row r="46" spans="1:7">
      <c r="A46" s="174" t="s">
        <v>73</v>
      </c>
      <c r="B46" s="34">
        <f t="shared" si="0"/>
        <v>138.95015576323988</v>
      </c>
      <c r="C46" s="35" t="s">
        <v>111</v>
      </c>
      <c r="D46" s="177"/>
    </row>
    <row r="47" spans="1:7">
      <c r="A47" s="174" t="s">
        <v>74</v>
      </c>
      <c r="B47" s="34">
        <f t="shared" si="0"/>
        <v>348.32710280373828</v>
      </c>
      <c r="C47" s="35" t="s">
        <v>111</v>
      </c>
      <c r="D47" s="177"/>
    </row>
    <row r="48" spans="1:7">
      <c r="A48" s="174" t="s">
        <v>75</v>
      </c>
      <c r="B48" s="34">
        <f t="shared" si="0"/>
        <v>123.72274143302182</v>
      </c>
      <c r="C48" s="34">
        <f>B48*10</f>
        <v>1237.2274143302182</v>
      </c>
      <c r="D48" s="237"/>
    </row>
    <row r="49" spans="1:6">
      <c r="A49" s="174" t="s">
        <v>76</v>
      </c>
      <c r="B49" s="34" t="str">
        <f t="shared" si="0"/>
        <v>-</v>
      </c>
      <c r="C49" s="35" t="s">
        <v>111</v>
      </c>
      <c r="D49" s="237"/>
    </row>
    <row r="50" spans="1:6">
      <c r="A50" s="174" t="s">
        <v>77</v>
      </c>
      <c r="B50" s="34">
        <f t="shared" si="0"/>
        <v>53.4</v>
      </c>
      <c r="C50" s="34">
        <f>B50*2</f>
        <v>106.8</v>
      </c>
      <c r="D50" s="237"/>
    </row>
    <row r="51" spans="1:6">
      <c r="A51" s="174" t="s">
        <v>78</v>
      </c>
      <c r="B51" s="34">
        <f t="shared" si="0"/>
        <v>518.59999999999991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14148.194425890253</v>
      </c>
      <c r="C5" s="18">
        <f>IF(ISERROR('Eigen informatie GS &amp; warmtenet'!B58),0,'Eigen informatie GS &amp; warmtenet'!B58)</f>
        <v>0</v>
      </c>
      <c r="D5" s="31">
        <f>SUM(D6:D12)</f>
        <v>13920.147548776509</v>
      </c>
      <c r="E5" s="18">
        <f>SUM(E6:E12)</f>
        <v>99.915877526226467</v>
      </c>
      <c r="F5" s="18">
        <f>SUM(F6:F12)</f>
        <v>2790.7151633856583</v>
      </c>
      <c r="G5" s="19"/>
      <c r="H5" s="18"/>
      <c r="I5" s="18"/>
      <c r="J5" s="18">
        <f>SUM(J6:J12)</f>
        <v>0</v>
      </c>
      <c r="K5" s="18"/>
      <c r="L5" s="18"/>
      <c r="M5" s="18"/>
      <c r="N5" s="18">
        <f>SUM(N6:N12)</f>
        <v>978.80230645516031</v>
      </c>
      <c r="O5" s="18">
        <f>B38*B39*B40</f>
        <v>0</v>
      </c>
      <c r="P5" s="18">
        <f>B46*B47*B48/1000-B46*B47*B48/1000/B49</f>
        <v>0</v>
      </c>
      <c r="R5" s="33"/>
    </row>
    <row r="6" spans="1:18">
      <c r="A6" s="33" t="s">
        <v>54</v>
      </c>
      <c r="B6" s="38">
        <f>B26</f>
        <v>2713.4880395015598</v>
      </c>
      <c r="C6" s="34"/>
      <c r="D6" s="38">
        <f>IF(ISERROR(TER_kantoor_gas_kWh/1000),0,TER_kantoor_gas_kWh/1000)*0.902</f>
        <v>2186.9667875999648</v>
      </c>
      <c r="E6" s="34">
        <f>$C$26*'E Balans VL '!I12/100/3.6*1000000</f>
        <v>4.453383831314162</v>
      </c>
      <c r="F6" s="34">
        <f>$C$26*('E Balans VL '!L12+'E Balans VL '!N12)/100/3.6*1000000</f>
        <v>319.85639495073309</v>
      </c>
      <c r="G6" s="35"/>
      <c r="H6" s="34"/>
      <c r="I6" s="34"/>
      <c r="J6" s="34">
        <f>$C$26*('E Balans VL '!D12+'E Balans VL '!E12)/100/3.6*1000000</f>
        <v>0</v>
      </c>
      <c r="K6" s="34"/>
      <c r="L6" s="34"/>
      <c r="M6" s="34"/>
      <c r="N6" s="34">
        <f>$C$26*'E Balans VL '!Y12/100/3.6*1000000</f>
        <v>0.54824740896347479</v>
      </c>
      <c r="O6" s="34"/>
      <c r="P6" s="34"/>
      <c r="R6" s="33"/>
    </row>
    <row r="7" spans="1:18">
      <c r="A7" s="33" t="s">
        <v>53</v>
      </c>
      <c r="B7" s="38">
        <f t="shared" ref="B7:B12" si="0">B27</f>
        <v>479.66189548489496</v>
      </c>
      <c r="C7" s="34"/>
      <c r="D7" s="38">
        <f>IF(ISERROR(TER_horeca_gas_kWh/1000),0,TER_horeca_gas_kWh/1000)*0.902</f>
        <v>533.39885761459777</v>
      </c>
      <c r="E7" s="34">
        <f>$C$27*'E Balans VL '!I9/100/3.6*1000000</f>
        <v>24.890981467915665</v>
      </c>
      <c r="F7" s="34">
        <f>$C$27*('E Balans VL '!L9+'E Balans VL '!N9)/100/3.6*1000000</f>
        <v>109.45919259404937</v>
      </c>
      <c r="G7" s="35"/>
      <c r="H7" s="34"/>
      <c r="I7" s="34"/>
      <c r="J7" s="34">
        <f>$C$27*('E Balans VL '!D9+'E Balans VL '!E9)/100/3.6*1000000</f>
        <v>0</v>
      </c>
      <c r="K7" s="34"/>
      <c r="L7" s="34"/>
      <c r="M7" s="34"/>
      <c r="N7" s="34">
        <f>$C$27*'E Balans VL '!Y9/100/3.6*1000000</f>
        <v>5.0652076348551359E-2</v>
      </c>
      <c r="O7" s="34"/>
      <c r="P7" s="34"/>
      <c r="R7" s="33"/>
    </row>
    <row r="8" spans="1:18">
      <c r="A8" s="6" t="s">
        <v>52</v>
      </c>
      <c r="B8" s="38">
        <f t="shared" si="0"/>
        <v>6877.9770700463805</v>
      </c>
      <c r="C8" s="34"/>
      <c r="D8" s="38">
        <f>IF(ISERROR(TER_handel_gas_kWh/1000),0,TER_handel_gas_kWh/1000)*0.902</f>
        <v>5136.9043409139204</v>
      </c>
      <c r="E8" s="34">
        <f>$C$28*'E Balans VL '!I13/100/3.6*1000000</f>
        <v>37.03875171324669</v>
      </c>
      <c r="F8" s="34">
        <f>$C$28*('E Balans VL '!L13+'E Balans VL '!N13)/100/3.6*1000000</f>
        <v>1402.6239196517763</v>
      </c>
      <c r="G8" s="35"/>
      <c r="H8" s="34"/>
      <c r="I8" s="34"/>
      <c r="J8" s="34">
        <f>$C$28*('E Balans VL '!D13+'E Balans VL '!E13)/100/3.6*1000000</f>
        <v>0</v>
      </c>
      <c r="K8" s="34"/>
      <c r="L8" s="34"/>
      <c r="M8" s="34"/>
      <c r="N8" s="34">
        <f>$C$28*'E Balans VL '!Y13/100/3.6*1000000</f>
        <v>34.200547813713321</v>
      </c>
      <c r="O8" s="34"/>
      <c r="P8" s="34"/>
      <c r="R8" s="33"/>
    </row>
    <row r="9" spans="1:18">
      <c r="A9" s="33" t="s">
        <v>51</v>
      </c>
      <c r="B9" s="38">
        <f t="shared" si="0"/>
        <v>104.814427033089</v>
      </c>
      <c r="C9" s="34"/>
      <c r="D9" s="38">
        <f>IF(ISERROR(TER_gezond_gas_kWh/1000),0,TER_gezond_gas_kWh/1000)*0.902</f>
        <v>281.03099444787932</v>
      </c>
      <c r="E9" s="34">
        <f>$C$29*'E Balans VL '!I10/100/3.6*1000000</f>
        <v>0.10387228913452241</v>
      </c>
      <c r="F9" s="34">
        <f>$C$29*('E Balans VL '!L10+'E Balans VL '!N10)/100/3.6*1000000</f>
        <v>36.367585020527507</v>
      </c>
      <c r="G9" s="35"/>
      <c r="H9" s="34"/>
      <c r="I9" s="34"/>
      <c r="J9" s="34">
        <f>$C$29*('E Balans VL '!D10+'E Balans VL '!E10)/100/3.6*1000000</f>
        <v>0</v>
      </c>
      <c r="K9" s="34"/>
      <c r="L9" s="34"/>
      <c r="M9" s="34"/>
      <c r="N9" s="34">
        <f>$C$29*'E Balans VL '!Y10/100/3.6*1000000</f>
        <v>0.90317683771384649</v>
      </c>
      <c r="O9" s="34"/>
      <c r="P9" s="34"/>
      <c r="R9" s="33"/>
    </row>
    <row r="10" spans="1:18">
      <c r="A10" s="33" t="s">
        <v>50</v>
      </c>
      <c r="B10" s="38">
        <f t="shared" si="0"/>
        <v>1338.2990359589098</v>
      </c>
      <c r="C10" s="34"/>
      <c r="D10" s="38">
        <f>IF(ISERROR(TER_ander_gas_kWh/1000),0,TER_ander_gas_kWh/1000)*0.902</f>
        <v>678.34418393649548</v>
      </c>
      <c r="E10" s="34">
        <f>$C$30*'E Balans VL '!I14/100/3.6*1000000</f>
        <v>10.948623648774001</v>
      </c>
      <c r="F10" s="34">
        <f>$C$30*('E Balans VL '!L14+'E Balans VL '!N14)/100/3.6*1000000</f>
        <v>391.26415370407784</v>
      </c>
      <c r="G10" s="35"/>
      <c r="H10" s="34"/>
      <c r="I10" s="34"/>
      <c r="J10" s="34">
        <f>$C$30*('E Balans VL '!D14+'E Balans VL '!E14)/100/3.6*1000000</f>
        <v>0</v>
      </c>
      <c r="K10" s="34"/>
      <c r="L10" s="34"/>
      <c r="M10" s="34"/>
      <c r="N10" s="34">
        <f>$C$30*'E Balans VL '!Y14/100/3.6*1000000</f>
        <v>772.02294407757915</v>
      </c>
      <c r="O10" s="34"/>
      <c r="P10" s="34"/>
      <c r="R10" s="33"/>
    </row>
    <row r="11" spans="1:18">
      <c r="A11" s="33" t="s">
        <v>55</v>
      </c>
      <c r="B11" s="38">
        <f t="shared" si="0"/>
        <v>34.645510872981198</v>
      </c>
      <c r="C11" s="34"/>
      <c r="D11" s="38">
        <f>IF(ISERROR(TER_onderwijs_gas_kWh/1000),0,TER_onderwijs_gas_kWh/1000)*0.902</f>
        <v>433.48274136372032</v>
      </c>
      <c r="E11" s="34">
        <f>$C$31*'E Balans VL '!I11/100/3.6*1000000</f>
        <v>2.1354031062867825E-2</v>
      </c>
      <c r="F11" s="34">
        <f>$C$31*('E Balans VL '!L11+'E Balans VL '!N11)/100/3.6*1000000</f>
        <v>13.394515576086361</v>
      </c>
      <c r="G11" s="35"/>
      <c r="H11" s="34"/>
      <c r="I11" s="34"/>
      <c r="J11" s="34">
        <f>$C$31*('E Balans VL '!D11+'E Balans VL '!E11)/100/3.6*1000000</f>
        <v>0</v>
      </c>
      <c r="K11" s="34"/>
      <c r="L11" s="34"/>
      <c r="M11" s="34"/>
      <c r="N11" s="34">
        <f>$C$31*'E Balans VL '!Y11/100/3.6*1000000</f>
        <v>0.11269442249534886</v>
      </c>
      <c r="O11" s="34"/>
      <c r="P11" s="34"/>
      <c r="R11" s="33"/>
    </row>
    <row r="12" spans="1:18">
      <c r="A12" s="33" t="s">
        <v>260</v>
      </c>
      <c r="B12" s="38">
        <f t="shared" si="0"/>
        <v>2599.3084469924402</v>
      </c>
      <c r="C12" s="34"/>
      <c r="D12" s="38">
        <f>IF(ISERROR(TER_rest_gas_kWh/1000),0,TER_rest_gas_kWh/1000)*0.902</f>
        <v>4670.0196428999316</v>
      </c>
      <c r="E12" s="34">
        <f>$C$32*'E Balans VL '!I8/100/3.6*1000000</f>
        <v>22.458910544778551</v>
      </c>
      <c r="F12" s="34">
        <f>$C$32*('E Balans VL '!L8+'E Balans VL '!N8)/100/3.6*1000000</f>
        <v>517.74940188840822</v>
      </c>
      <c r="G12" s="35"/>
      <c r="H12" s="34"/>
      <c r="I12" s="34"/>
      <c r="J12" s="34">
        <f>$C$32*('E Balans VL '!D8+'E Balans VL '!E8)/100/3.6*1000000</f>
        <v>0</v>
      </c>
      <c r="K12" s="34"/>
      <c r="L12" s="34"/>
      <c r="M12" s="34"/>
      <c r="N12" s="34">
        <f>$C$32*'E Balans VL '!Y8/100/3.6*1000000</f>
        <v>170.96404381834662</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14148.194425890253</v>
      </c>
      <c r="C16" s="22">
        <f t="shared" ca="1" si="1"/>
        <v>0</v>
      </c>
      <c r="D16" s="22">
        <f t="shared" ca="1" si="1"/>
        <v>13920.147548776509</v>
      </c>
      <c r="E16" s="22">
        <f t="shared" si="1"/>
        <v>99.915877526226467</v>
      </c>
      <c r="F16" s="22">
        <f t="shared" ca="1" si="1"/>
        <v>2790.7151633856583</v>
      </c>
      <c r="G16" s="22">
        <f t="shared" si="1"/>
        <v>0</v>
      </c>
      <c r="H16" s="22">
        <f t="shared" si="1"/>
        <v>0</v>
      </c>
      <c r="I16" s="22">
        <f t="shared" si="1"/>
        <v>0</v>
      </c>
      <c r="J16" s="22">
        <f t="shared" si="1"/>
        <v>0</v>
      </c>
      <c r="K16" s="22">
        <f t="shared" si="1"/>
        <v>0</v>
      </c>
      <c r="L16" s="22">
        <f t="shared" ca="1" si="1"/>
        <v>0</v>
      </c>
      <c r="M16" s="22">
        <f t="shared" si="1"/>
        <v>0</v>
      </c>
      <c r="N16" s="22">
        <f t="shared" ca="1" si="1"/>
        <v>978.80230645516031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0.16428252656307527</v>
      </c>
      <c r="C18" s="26">
        <f ca="1">'EF ele_warmte'!B22</f>
        <v>0.14315280853633985</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2324.301126590869</v>
      </c>
      <c r="C20" s="24">
        <f t="shared" ref="C20:P20" ca="1" si="2">C16*C18</f>
        <v>0</v>
      </c>
      <c r="D20" s="24">
        <f t="shared" ca="1" si="2"/>
        <v>2811.8698048528549</v>
      </c>
      <c r="E20" s="24">
        <f t="shared" si="2"/>
        <v>22.680904198453408</v>
      </c>
      <c r="F20" s="24">
        <f t="shared" ca="1" si="2"/>
        <v>745.12094862397078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2713.4880395015598</v>
      </c>
      <c r="C26" s="40">
        <f>IF(ISERROR(B26*3.6/1000000/'E Balans VL '!Z12*100),0,B26*3.6/1000000/'E Balans VL '!Z12*100)</f>
        <v>5.765967491289832E-2</v>
      </c>
      <c r="D26" s="240" t="s">
        <v>707</v>
      </c>
      <c r="F26" s="6"/>
    </row>
    <row r="27" spans="1:18">
      <c r="A27" s="234" t="s">
        <v>53</v>
      </c>
      <c r="B27" s="34">
        <f>IF(ISERROR(TER_horeca_ele_kWh/1000),0,TER_horeca_ele_kWh/1000)</f>
        <v>479.66189548489496</v>
      </c>
      <c r="C27" s="40">
        <f>IF(ISERROR(B27*3.6/1000000/'E Balans VL '!Z9*100),0,B27*3.6/1000000/'E Balans VL '!Z9*100)</f>
        <v>3.7753100384013444E-2</v>
      </c>
      <c r="D27" s="240" t="s">
        <v>707</v>
      </c>
      <c r="F27" s="6"/>
    </row>
    <row r="28" spans="1:18">
      <c r="A28" s="174" t="s">
        <v>52</v>
      </c>
      <c r="B28" s="34">
        <f>IF(ISERROR(TER_handel_ele_kWh/1000),0,TER_handel_ele_kWh/1000)</f>
        <v>6877.9770700463805</v>
      </c>
      <c r="C28" s="40">
        <f>IF(ISERROR(B28*3.6/1000000/'E Balans VL '!Z13*100),0,B28*3.6/1000000/'E Balans VL '!Z13*100)</f>
        <v>0.19265581868000423</v>
      </c>
      <c r="D28" s="240" t="s">
        <v>707</v>
      </c>
      <c r="F28" s="6"/>
    </row>
    <row r="29" spans="1:18">
      <c r="A29" s="234" t="s">
        <v>51</v>
      </c>
      <c r="B29" s="34">
        <f>IF(ISERROR(TER_gezond_ele_kWh/1000),0,TER_gezond_ele_kWh/1000)</f>
        <v>104.814427033089</v>
      </c>
      <c r="C29" s="40">
        <f>IF(ISERROR(B29*3.6/1000000/'E Balans VL '!Z10*100),0,B29*3.6/1000000/'E Balans VL '!Z10*100)</f>
        <v>1.3408934678157465E-2</v>
      </c>
      <c r="D29" s="240" t="s">
        <v>707</v>
      </c>
      <c r="F29" s="6"/>
    </row>
    <row r="30" spans="1:18">
      <c r="A30" s="234" t="s">
        <v>50</v>
      </c>
      <c r="B30" s="34">
        <f>IF(ISERROR(TER_ander_ele_kWh/1000),0,TER_ander_ele_kWh/1000)</f>
        <v>1338.2990359589098</v>
      </c>
      <c r="C30" s="40">
        <f>IF(ISERROR(B30*3.6/1000000/'E Balans VL '!Z14*100),0,B30*3.6/1000000/'E Balans VL '!Z14*100)</f>
        <v>0.10009349118505784</v>
      </c>
      <c r="D30" s="240" t="s">
        <v>707</v>
      </c>
      <c r="F30" s="6"/>
    </row>
    <row r="31" spans="1:18">
      <c r="A31" s="234" t="s">
        <v>55</v>
      </c>
      <c r="B31" s="34">
        <f>IF(ISERROR(TER_onderwijs_ele_kWh/1000),0,TER_onderwijs_ele_kWh/1000)</f>
        <v>34.645510872981198</v>
      </c>
      <c r="C31" s="40">
        <f>IF(ISERROR(B31*3.6/1000000/'E Balans VL '!Z11*100),0,B31*3.6/1000000/'E Balans VL '!Z11*100)</f>
        <v>7.315444498237512E-3</v>
      </c>
      <c r="D31" s="240" t="s">
        <v>707</v>
      </c>
    </row>
    <row r="32" spans="1:18">
      <c r="A32" s="234" t="s">
        <v>260</v>
      </c>
      <c r="B32" s="34">
        <f>IF(ISERROR(TER_rest_ele_kWh/1000),0,TER_rest_ele_kWh/1000)</f>
        <v>2599.3084469924402</v>
      </c>
      <c r="C32" s="40">
        <f>IF(ISERROR(B32*3.6/1000000/'E Balans VL '!Z8*100),0,B32*3.6/1000000/'E Balans VL '!Z8*100)</f>
        <v>2.1412926403447198E-2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11727.523740778797</v>
      </c>
      <c r="C5" s="18">
        <f>IF(ISERROR('Eigen informatie GS &amp; warmtenet'!B59),0,'Eigen informatie GS &amp; warmtenet'!B59)</f>
        <v>0</v>
      </c>
      <c r="D5" s="31">
        <f>SUM(D6:D15)</f>
        <v>2307.0866795252691</v>
      </c>
      <c r="E5" s="18">
        <f>SUM(E6:E15)</f>
        <v>100.99290191760528</v>
      </c>
      <c r="F5" s="18">
        <f>SUM(F6:F15)</f>
        <v>3109.3992227509116</v>
      </c>
      <c r="G5" s="19"/>
      <c r="H5" s="18"/>
      <c r="I5" s="18"/>
      <c r="J5" s="18">
        <f>SUM(J6:J15)</f>
        <v>59.998826530933925</v>
      </c>
      <c r="K5" s="18"/>
      <c r="L5" s="18"/>
      <c r="M5" s="18"/>
      <c r="N5" s="18">
        <f>SUM(N6:N15)</f>
        <v>400.00173801679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815.28111297968201</v>
      </c>
      <c r="C8" s="34"/>
      <c r="D8" s="38">
        <f>IF( ISERROR(IND_metaal_Gas_kWH/1000),0,IND_metaal_Gas_kWH/1000)*0.902</f>
        <v>0</v>
      </c>
      <c r="E8" s="34">
        <f>C30*'E Balans VL '!I18/100/3.6*1000000</f>
        <v>7.4246181721770688</v>
      </c>
      <c r="F8" s="34">
        <f>C30*'E Balans VL '!L18/100/3.6*1000000+C30*'E Balans VL '!N18/100/3.6*1000000</f>
        <v>107.52938745090829</v>
      </c>
      <c r="G8" s="35"/>
      <c r="H8" s="34"/>
      <c r="I8" s="34"/>
      <c r="J8" s="41">
        <f>C30*'E Balans VL '!D18/100/3.6*1000000+C30*'E Balans VL '!E18/100/3.6*1000000</f>
        <v>13.36942650731614</v>
      </c>
      <c r="K8" s="34"/>
      <c r="L8" s="34"/>
      <c r="M8" s="34"/>
      <c r="N8" s="34">
        <f>C30*'E Balans VL '!Y18/100/3.6*1000000</f>
        <v>2.8017973157198246</v>
      </c>
      <c r="O8" s="34"/>
      <c r="P8" s="34"/>
      <c r="R8" s="33"/>
    </row>
    <row r="9" spans="1:18">
      <c r="A9" s="6" t="s">
        <v>33</v>
      </c>
      <c r="B9" s="38">
        <f t="shared" si="0"/>
        <v>1455.3602702196499</v>
      </c>
      <c r="C9" s="34"/>
      <c r="D9" s="38">
        <f>IF( ISERROR(IND_andere_gas_kWh/1000),0,IND_andere_gas_kWh/1000)*0.902</f>
        <v>579.6047311661298</v>
      </c>
      <c r="E9" s="34">
        <f>C31*'E Balans VL '!I19/100/3.6*1000000</f>
        <v>8.4121998474730795</v>
      </c>
      <c r="F9" s="34">
        <f>C31*'E Balans VL '!L19/100/3.6*1000000+C31*'E Balans VL '!N19/100/3.6*1000000</f>
        <v>1157.8091241247789</v>
      </c>
      <c r="G9" s="35"/>
      <c r="H9" s="34"/>
      <c r="I9" s="34"/>
      <c r="J9" s="41">
        <f>C31*'E Balans VL '!D19/100/3.6*1000000+C31*'E Balans VL '!E19/100/3.6*1000000</f>
        <v>0.13766091587877086</v>
      </c>
      <c r="K9" s="34"/>
      <c r="L9" s="34"/>
      <c r="M9" s="34"/>
      <c r="N9" s="34">
        <f>C31*'E Balans VL '!Y19/100/3.6*1000000</f>
        <v>110.26556488326787</v>
      </c>
      <c r="O9" s="34"/>
      <c r="P9" s="34"/>
      <c r="R9" s="33"/>
    </row>
    <row r="10" spans="1:18">
      <c r="A10" s="6" t="s">
        <v>41</v>
      </c>
      <c r="B10" s="38">
        <f t="shared" si="0"/>
        <v>211.89795881531398</v>
      </c>
      <c r="C10" s="34"/>
      <c r="D10" s="38">
        <f>IF( ISERROR(IND_voed_gas_kWh/1000),0,IND_voed_gas_kWh/1000)*0.902</f>
        <v>171.74259523273858</v>
      </c>
      <c r="E10" s="34">
        <f>C32*'E Balans VL '!I20/100/3.6*1000000</f>
        <v>2.0835112922780752</v>
      </c>
      <c r="F10" s="34">
        <f>C32*'E Balans VL '!L20/100/3.6*1000000+C32*'E Balans VL '!N20/100/3.6*1000000</f>
        <v>23.534034155144333</v>
      </c>
      <c r="G10" s="35"/>
      <c r="H10" s="34"/>
      <c r="I10" s="34"/>
      <c r="J10" s="41">
        <f>C32*'E Balans VL '!D20/100/3.6*1000000+C32*'E Balans VL '!E20/100/3.6*1000000</f>
        <v>8.3518605157612653E-4</v>
      </c>
      <c r="K10" s="34"/>
      <c r="L10" s="34"/>
      <c r="M10" s="34"/>
      <c r="N10" s="34">
        <f>C32*'E Balans VL '!Y20/100/3.6*1000000</f>
        <v>3.1377103335166039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9244.9843987641507</v>
      </c>
      <c r="C15" s="34"/>
      <c r="D15" s="38">
        <f>IF( ISERROR(IND_rest_gas_kWh/1000),0,IND_rest_gas_kWh/1000)*0.902</f>
        <v>1555.7393531264006</v>
      </c>
      <c r="E15" s="34">
        <f>C37*'E Balans VL '!I15/100/3.6*1000000</f>
        <v>83.072572605677053</v>
      </c>
      <c r="F15" s="34">
        <f>C37*'E Balans VL '!L15/100/3.6*1000000+C37*'E Balans VL '!N15/100/3.6*1000000</f>
        <v>1820.5266770200801</v>
      </c>
      <c r="G15" s="35"/>
      <c r="H15" s="34"/>
      <c r="I15" s="34"/>
      <c r="J15" s="41">
        <f>C37*'E Balans VL '!D15/100/3.6*1000000+C37*'E Balans VL '!E15/100/3.6*1000000</f>
        <v>46.49090392168744</v>
      </c>
      <c r="K15" s="34"/>
      <c r="L15" s="34"/>
      <c r="M15" s="34"/>
      <c r="N15" s="34">
        <f>C37*'E Balans VL '!Y15/100/3.6*1000000</f>
        <v>283.79666548428571</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11727.523740778797</v>
      </c>
      <c r="C18" s="22">
        <f>C5+C16</f>
        <v>0</v>
      </c>
      <c r="D18" s="22">
        <f>MAX((D5+D16),0)</f>
        <v>2307.0866795252691</v>
      </c>
      <c r="E18" s="22">
        <f>MAX((E5+E16),0)</f>
        <v>100.99290191760528</v>
      </c>
      <c r="F18" s="22">
        <f>MAX((F5+F16),0)</f>
        <v>3109.3992227509116</v>
      </c>
      <c r="G18" s="22"/>
      <c r="H18" s="22"/>
      <c r="I18" s="22"/>
      <c r="J18" s="22">
        <f>MAX((J5+J16),0)</f>
        <v>59.998826530933925</v>
      </c>
      <c r="K18" s="22"/>
      <c r="L18" s="22">
        <f>MAX((L5+L16),0)</f>
        <v>0</v>
      </c>
      <c r="M18" s="22"/>
      <c r="N18" s="22">
        <f>MAX((N5+N16),0)</f>
        <v>400.00173801679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0.16428252656307527</v>
      </c>
      <c r="C20" s="26">
        <f ca="1">'EF ele_warmte'!B22</f>
        <v>0.14315280853633985</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1926.6272304635886</v>
      </c>
      <c r="C22" s="24">
        <f ca="1">C18*C20</f>
        <v>0</v>
      </c>
      <c r="D22" s="24">
        <f>D18*D20</f>
        <v>466.03150926410439</v>
      </c>
      <c r="E22" s="24">
        <f>E18*E20</f>
        <v>22.925388735296398</v>
      </c>
      <c r="F22" s="24">
        <f>F18*F20</f>
        <v>830.20959247449343</v>
      </c>
      <c r="G22" s="24"/>
      <c r="H22" s="24"/>
      <c r="I22" s="24"/>
      <c r="J22" s="24">
        <f>J18*J20</f>
        <v>21.23958459195061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815.28111297968201</v>
      </c>
      <c r="C30" s="40">
        <f>IF(ISERROR(B30*3.6/1000000/'E Balans VL '!Z18*100),0,B30*3.6/1000000/'E Balans VL '!Z18*100)</f>
        <v>4.5364942199291304E-2</v>
      </c>
      <c r="D30" s="240" t="s">
        <v>707</v>
      </c>
    </row>
    <row r="31" spans="1:18">
      <c r="A31" s="6" t="s">
        <v>33</v>
      </c>
      <c r="B31" s="38">
        <f>IF( ISERROR(IND_ander_ele_kWh/1000),0,IND_ander_ele_kWh/1000)</f>
        <v>1455.3602702196499</v>
      </c>
      <c r="C31" s="40">
        <f>IF(ISERROR(B31*3.6/1000000/'E Balans VL '!Z19*100),0,B31*3.6/1000000/'E Balans VL '!Z19*100)</f>
        <v>6.7655876745880569E-2</v>
      </c>
      <c r="D31" s="240" t="s">
        <v>707</v>
      </c>
    </row>
    <row r="32" spans="1:18">
      <c r="A32" s="174" t="s">
        <v>41</v>
      </c>
      <c r="B32" s="38">
        <f>IF( ISERROR(IND_voed_ele_kWh/1000),0,IND_voed_ele_kWh/1000)</f>
        <v>211.89795881531398</v>
      </c>
      <c r="C32" s="40">
        <f>IF(ISERROR(B32*3.6/1000000/'E Balans VL '!Z20*100),0,B32*3.6/1000000/'E Balans VL '!Z20*100)</f>
        <v>7.4901648980698196E-3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9244.9843987641507</v>
      </c>
      <c r="C37" s="40">
        <f>IF(ISERROR(B37*3.6/1000000/'E Balans VL '!Z15*100),0,B37*3.6/1000000/'E Balans VL '!Z15*100)</f>
        <v>6.9813289117755084E-2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6914.46064809375</v>
      </c>
      <c r="C5" s="18">
        <f>'Eigen informatie GS &amp; warmtenet'!B60</f>
        <v>0</v>
      </c>
      <c r="D5" s="31">
        <f>IF(ISERROR(SUM(LB_lb_gas_kWh,LB_rest_gas_kWh,onbekend_gas_kWh)/1000),0,SUM(LB_lb_gas_kWh,LB_rest_gas_kWh,onbekend_gas_kWh)/1000)*0.902</f>
        <v>3653.3498667192857</v>
      </c>
      <c r="E5" s="18">
        <f>B17*'E Balans VL '!I25/3.6*1000000/100</f>
        <v>65.138852145648869</v>
      </c>
      <c r="F5" s="18">
        <f>B17*('E Balans VL '!L25/3.6*1000000+'E Balans VL '!N25/3.6*1000000)/100</f>
        <v>22564.179802690269</v>
      </c>
      <c r="G5" s="19"/>
      <c r="H5" s="18"/>
      <c r="I5" s="18"/>
      <c r="J5" s="18">
        <f>('E Balans VL '!D25+'E Balans VL '!E25)/3.6*1000000*landbouw!B17/100</f>
        <v>855.35241409932894</v>
      </c>
      <c r="K5" s="18"/>
      <c r="L5" s="18">
        <f>L6*(-1)</f>
        <v>0</v>
      </c>
      <c r="M5" s="18"/>
      <c r="N5" s="18">
        <f>N6*(-1)</f>
        <v>25392.857142857145</v>
      </c>
      <c r="O5" s="18"/>
      <c r="P5" s="18"/>
      <c r="R5" s="33"/>
    </row>
    <row r="6" spans="1:18">
      <c r="A6" s="17" t="s">
        <v>502</v>
      </c>
      <c r="B6" s="18" t="s">
        <v>211</v>
      </c>
      <c r="C6" s="18">
        <f>'lokale energieproductie'!O91+'lokale energieproductie'!O60</f>
        <v>31930.714285714286</v>
      </c>
      <c r="D6" s="312">
        <f>('lokale energieproductie'!P60+'lokale energieproductie'!P91)*(-1)</f>
        <v>-38468.571428571428</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-25392.857142857145</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6914.46064809375</v>
      </c>
      <c r="C8" s="22">
        <f>C5+C6</f>
        <v>31930.714285714286</v>
      </c>
      <c r="D8" s="22">
        <f>MAX((D5+D6),0)</f>
        <v>0</v>
      </c>
      <c r="E8" s="22">
        <f>MAX((E5+E6),0)</f>
        <v>65.138852145648869</v>
      </c>
      <c r="F8" s="22">
        <f>MAX((F5+F6),0)</f>
        <v>22564.179802690269</v>
      </c>
      <c r="G8" s="22"/>
      <c r="H8" s="22"/>
      <c r="I8" s="22"/>
      <c r="J8" s="22">
        <f>MAX((J5+J6),0)</f>
        <v>855.35241409932894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0.16428252656307527</v>
      </c>
      <c r="C10" s="32">
        <f ca="1">'EF ele_warmte'!B22</f>
        <v>0.14315280853633985</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1135.9250650898</v>
      </c>
      <c r="C12" s="24">
        <f ca="1">C8*C10</f>
        <v>4570.971428571429</v>
      </c>
      <c r="D12" s="24">
        <f>D8*D10</f>
        <v>0</v>
      </c>
      <c r="E12" s="24">
        <f>E8*E10</f>
        <v>14.786519437062294</v>
      </c>
      <c r="F12" s="24">
        <f>F8*F10</f>
        <v>6024.6360073183023</v>
      </c>
      <c r="G12" s="24"/>
      <c r="H12" s="24"/>
      <c r="I12" s="24"/>
      <c r="J12" s="24">
        <f>J8*J10</f>
        <v>302.79475459116242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0.9361074822027533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472.55515907075392</v>
      </c>
      <c r="C26" s="250">
        <f>B26*'GWP N2O_CH4'!B5</f>
        <v>9923.658340485832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586.64864431977105</v>
      </c>
      <c r="C27" s="250">
        <f>B27*'GWP N2O_CH4'!B5</f>
        <v>12319.621530715192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8.227025468725655</v>
      </c>
      <c r="C28" s="250">
        <f>B28*'GWP N2O_CH4'!B4</f>
        <v>2550.3778953049532</v>
      </c>
      <c r="D28" s="51"/>
    </row>
    <row r="29" spans="1:4">
      <c r="A29" s="42" t="s">
        <v>277</v>
      </c>
      <c r="B29" s="250">
        <f>B34*'ha_N2O bodem landbouw'!B4</f>
        <v>13.810473594767728</v>
      </c>
      <c r="C29" s="250">
        <f>B29*'GWP N2O_CH4'!B4</f>
        <v>4281.2468143779961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3.7283931131933596E-3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4.9439632721367782E-6</v>
      </c>
      <c r="C5" s="447" t="s">
        <v>211</v>
      </c>
      <c r="D5" s="432">
        <f>SUM(D6:D11)</f>
        <v>1.3473055275853442E-5</v>
      </c>
      <c r="E5" s="432">
        <f>SUM(E6:E11)</f>
        <v>7.8312947421788352E-4</v>
      </c>
      <c r="F5" s="445" t="s">
        <v>211</v>
      </c>
      <c r="G5" s="432">
        <f>SUM(G6:G11)</f>
        <v>0.18499053141315225</v>
      </c>
      <c r="H5" s="432">
        <f>SUM(H6:H11)</f>
        <v>2.9983486454259942E-2</v>
      </c>
      <c r="I5" s="447" t="s">
        <v>211</v>
      </c>
      <c r="J5" s="447" t="s">
        <v>211</v>
      </c>
      <c r="K5" s="447" t="s">
        <v>211</v>
      </c>
      <c r="L5" s="447" t="s">
        <v>211</v>
      </c>
      <c r="M5" s="432">
        <f>SUM(M6:M11)</f>
        <v>9.6092445332424271E-3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4.2221774890155269E-6</v>
      </c>
      <c r="C6" s="433"/>
      <c r="D6" s="433">
        <f>vkm_2011_GW_PW*SUMIFS(TableVerdeelsleutelVkm[CNG],TableVerdeelsleutelVkm[Voertuigtype],"Lichte voertuigen")*SUMIFS(TableECFTransport[EnergieConsumptieFactor (PJ per km)],TableECFTransport[Index],CONCATENATE($A6,"_CNG_CNG"))</f>
        <v>1.0310628137431767E-5</v>
      </c>
      <c r="E6" s="435">
        <f>vkm_2011_GW_PW*SUMIFS(TableVerdeelsleutelVkm[LPG],TableVerdeelsleutelVkm[Voertuigtype],"Lichte voertuigen")*SUMIFS(TableECFTransport[EnergieConsumptieFactor (PJ per km)],TableECFTransport[Index],CONCATENATE($A6,"_LPG_LPG"))</f>
        <v>6.1116075209368998E-4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8.8350476090219135E-2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2.3154121521087027E-2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4.9933812293456292E-3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5.8973912584542008E-2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2.3793674528268287E-5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2.6272695592405538E-3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7.2178578312125129E-7</v>
      </c>
      <c r="C8" s="433"/>
      <c r="D8" s="435">
        <f>vkm_2011_NGW_PW*SUMIFS(TableVerdeelsleutelVkm[CNG],TableVerdeelsleutelVkm[Voertuigtype],"Lichte voertuigen")*SUMIFS(TableECFTransport[EnergieConsumptieFactor (PJ per km)],TableECFTransport[Index],CONCATENATE($A8,"_CNG_CNG"))</f>
        <v>3.1624271384216737E-6</v>
      </c>
      <c r="E8" s="435">
        <f>vkm_2011_NGW_PW*SUMIFS(TableVerdeelsleutelVkm[LPG],TableVerdeelsleutelVkm[Voertuigtype],"Lichte voertuigen")*SUMIFS(TableECFTransport[EnergieConsumptieFactor (PJ per km)],TableECFTransport[Index],CONCATENATE($A8,"_LPG_LPG"))</f>
        <v>1.7196872212419352E-4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2.3484964164086151E-2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6.8005895279176845E-3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1.3568604648378935E-3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1.418117857430495E-2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4.9817307269642953E-6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6.3173327981835023E-4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1.373323131149105</v>
      </c>
      <c r="C14" s="22"/>
      <c r="D14" s="22">
        <f t="shared" ref="D14:M14" si="0">((D5)*10^9/3600)+D12</f>
        <v>3.7425153544037335</v>
      </c>
      <c r="E14" s="22">
        <f t="shared" si="0"/>
        <v>217.53596506052321</v>
      </c>
      <c r="F14" s="22"/>
      <c r="G14" s="22">
        <f t="shared" si="0"/>
        <v>51386.258725875625</v>
      </c>
      <c r="H14" s="22">
        <f t="shared" si="0"/>
        <v>8328.7462372944283</v>
      </c>
      <c r="I14" s="22"/>
      <c r="J14" s="22"/>
      <c r="K14" s="22"/>
      <c r="L14" s="22"/>
      <c r="M14" s="22">
        <f t="shared" si="0"/>
        <v>2669.2345925673408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0.16428252656307527</v>
      </c>
      <c r="C16" s="57">
        <f ca="1">'EF ele_warmte'!B22</f>
        <v>0.14315280853633985</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0.22561299377268854</v>
      </c>
      <c r="C18" s="24"/>
      <c r="D18" s="24">
        <f t="shared" ref="D18:M18" si="1">D14*D16</f>
        <v>0.75598810158955421</v>
      </c>
      <c r="E18" s="24">
        <f t="shared" si="1"/>
        <v>49.380664068738767</v>
      </c>
      <c r="F18" s="24"/>
      <c r="G18" s="24">
        <f t="shared" si="1"/>
        <v>13720.131079808792</v>
      </c>
      <c r="H18" s="24">
        <f t="shared" si="1"/>
        <v>2073.8578130863125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2.3749209548762445E-3</v>
      </c>
      <c r="H50" s="323">
        <f t="shared" si="2"/>
        <v>0</v>
      </c>
      <c r="I50" s="323">
        <f t="shared" si="2"/>
        <v>0</v>
      </c>
      <c r="J50" s="323">
        <f t="shared" si="2"/>
        <v>0</v>
      </c>
      <c r="K50" s="323">
        <f t="shared" si="2"/>
        <v>0</v>
      </c>
      <c r="L50" s="323">
        <f t="shared" si="2"/>
        <v>0</v>
      </c>
      <c r="M50" s="323">
        <f t="shared" si="2"/>
        <v>1.0428669680578593E-4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2.3749209548762445E-3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1.0428669680578593E-4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659.7002652434013</v>
      </c>
      <c r="H54" s="22">
        <f t="shared" si="3"/>
        <v>0</v>
      </c>
      <c r="I54" s="22">
        <f t="shared" si="3"/>
        <v>0</v>
      </c>
      <c r="J54" s="22">
        <f t="shared" si="3"/>
        <v>0</v>
      </c>
      <c r="K54" s="22">
        <f t="shared" si="3"/>
        <v>0</v>
      </c>
      <c r="L54" s="22">
        <f t="shared" si="3"/>
        <v>0</v>
      </c>
      <c r="M54" s="22">
        <f t="shared" si="3"/>
        <v>28.968526890496094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0.16428252656307527</v>
      </c>
      <c r="C56" s="57">
        <f ca="1">'EF ele_warmte'!B22</f>
        <v>0.14315280853633985</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176.13997081998815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3936.8840683852986</v>
      </c>
      <c r="C6" s="1135"/>
      <c r="D6" s="1138"/>
      <c r="E6" s="1138"/>
      <c r="F6" s="1141"/>
      <c r="G6" s="1144"/>
      <c r="H6" s="1132"/>
      <c r="I6" s="1138"/>
      <c r="J6" s="1138"/>
      <c r="K6" s="1138"/>
      <c r="L6" s="1168"/>
      <c r="M6" s="560"/>
      <c r="N6" s="1180"/>
      <c r="O6" s="1181"/>
      <c r="Q6" s="558"/>
      <c r="R6" s="1165"/>
      <c r="S6" s="1165"/>
    </row>
    <row r="7" spans="1:19" s="548" customFormat="1">
      <c r="A7" s="561" t="s">
        <v>252</v>
      </c>
      <c r="B7" s="562">
        <f>N57</f>
        <v>22351.5</v>
      </c>
      <c r="C7" s="563">
        <f>B100</f>
        <v>15839.999999999998</v>
      </c>
      <c r="D7" s="564"/>
      <c r="E7" s="564">
        <f>E100</f>
        <v>0</v>
      </c>
      <c r="F7" s="565"/>
      <c r="G7" s="566"/>
      <c r="H7" s="564">
        <f>I100</f>
        <v>0</v>
      </c>
      <c r="I7" s="564">
        <f>G100+F100</f>
        <v>0</v>
      </c>
      <c r="J7" s="564">
        <f>H100+D100+C100</f>
        <v>10455.882352941177</v>
      </c>
      <c r="K7" s="564"/>
      <c r="L7" s="567"/>
      <c r="M7" s="568">
        <f>C7*$C$11+D7*$D$11+E7*$E$11+F7*$F$11+G7*$G$11+H7*$H$11+I7*$I$11+J7*$J$11</f>
        <v>3199.68</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26288.384068385298</v>
      </c>
      <c r="C9" s="579">
        <f t="shared" ref="C9:L9" si="0">SUM(C7:C8)</f>
        <v>15839.999999999998</v>
      </c>
      <c r="D9" s="579">
        <f t="shared" si="0"/>
        <v>0</v>
      </c>
      <c r="E9" s="579">
        <f t="shared" si="0"/>
        <v>0</v>
      </c>
      <c r="F9" s="579">
        <f t="shared" si="0"/>
        <v>0</v>
      </c>
      <c r="G9" s="579">
        <f t="shared" si="0"/>
        <v>0</v>
      </c>
      <c r="H9" s="579">
        <f t="shared" si="0"/>
        <v>0</v>
      </c>
      <c r="I9" s="579">
        <f t="shared" si="0"/>
        <v>0</v>
      </c>
      <c r="J9" s="579">
        <f t="shared" si="0"/>
        <v>10455.882352941177</v>
      </c>
      <c r="K9" s="579">
        <f t="shared" si="0"/>
        <v>0</v>
      </c>
      <c r="L9" s="579">
        <f t="shared" si="0"/>
        <v>0</v>
      </c>
      <c r="M9" s="580">
        <f>SUM(M4:M8)</f>
        <v>3199.68</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31930.714285714286</v>
      </c>
      <c r="C16" s="595">
        <f>B101</f>
        <v>22628.571428571428</v>
      </c>
      <c r="D16" s="596"/>
      <c r="E16" s="596">
        <f>E101</f>
        <v>0</v>
      </c>
      <c r="F16" s="597"/>
      <c r="G16" s="598"/>
      <c r="H16" s="595">
        <f>I101</f>
        <v>0</v>
      </c>
      <c r="I16" s="596">
        <f>G101+F101</f>
        <v>0</v>
      </c>
      <c r="J16" s="596">
        <f>H101+D101+C101</f>
        <v>14936.974789915968</v>
      </c>
      <c r="K16" s="596"/>
      <c r="L16" s="599"/>
      <c r="M16" s="600">
        <f>C16*$C$21+E16*$E$21+H16*$H$21+I16*$I$21+J16*$J$21+D16*$D$21+F16*$F$21+G16*$G$21+K16*$K$21+L16*$L$21</f>
        <v>4570.971428571429</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31930.714285714286</v>
      </c>
      <c r="C19" s="578">
        <f>SUM(C16:C18)</f>
        <v>22628.571428571428</v>
      </c>
      <c r="D19" s="578">
        <f t="shared" ref="D19:M19" si="1">SUM(D16:D18)</f>
        <v>0</v>
      </c>
      <c r="E19" s="578">
        <f t="shared" si="1"/>
        <v>0</v>
      </c>
      <c r="F19" s="578">
        <f t="shared" si="1"/>
        <v>0</v>
      </c>
      <c r="G19" s="578">
        <f t="shared" si="1"/>
        <v>0</v>
      </c>
      <c r="H19" s="578">
        <f t="shared" si="1"/>
        <v>0</v>
      </c>
      <c r="I19" s="578">
        <f t="shared" si="1"/>
        <v>0</v>
      </c>
      <c r="J19" s="578">
        <f t="shared" si="1"/>
        <v>14936.974789915968</v>
      </c>
      <c r="K19" s="578">
        <f t="shared" si="1"/>
        <v>0</v>
      </c>
      <c r="L19" s="578">
        <f t="shared" si="1"/>
        <v>0</v>
      </c>
      <c r="M19" s="605">
        <f t="shared" si="1"/>
        <v>4570.971428571429</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37011</v>
      </c>
      <c r="C27" s="840">
        <v>8740</v>
      </c>
      <c r="D27" s="657" t="s">
        <v>877</v>
      </c>
      <c r="E27" s="656" t="s">
        <v>878</v>
      </c>
      <c r="F27" s="656" t="s">
        <v>879</v>
      </c>
      <c r="G27" s="656" t="s">
        <v>880</v>
      </c>
      <c r="H27" s="656" t="s">
        <v>881</v>
      </c>
      <c r="I27" s="656" t="s">
        <v>882</v>
      </c>
      <c r="J27" s="839">
        <v>40084</v>
      </c>
      <c r="K27" s="839">
        <v>40084</v>
      </c>
      <c r="L27" s="656" t="s">
        <v>883</v>
      </c>
      <c r="M27" s="656">
        <v>1975</v>
      </c>
      <c r="N27" s="656">
        <v>8887.5</v>
      </c>
      <c r="O27" s="656">
        <v>12696.428571428572</v>
      </c>
      <c r="P27" s="656">
        <v>0</v>
      </c>
      <c r="Q27" s="656">
        <v>25392.857142857145</v>
      </c>
      <c r="R27" s="656">
        <v>0</v>
      </c>
      <c r="S27" s="656">
        <v>0</v>
      </c>
      <c r="T27" s="656">
        <v>0</v>
      </c>
      <c r="U27" s="656">
        <v>0</v>
      </c>
      <c r="V27" s="656">
        <v>0</v>
      </c>
      <c r="W27" s="656"/>
      <c r="X27" s="656">
        <v>10</v>
      </c>
      <c r="Y27" s="656" t="s">
        <v>112</v>
      </c>
      <c r="Z27" s="658" t="s">
        <v>112</v>
      </c>
    </row>
    <row r="28" spans="1:26" s="610" customFormat="1" ht="38.25">
      <c r="A28" s="609"/>
      <c r="B28" s="840">
        <v>37011</v>
      </c>
      <c r="C28" s="840">
        <v>8740</v>
      </c>
      <c r="D28" s="657" t="s">
        <v>884</v>
      </c>
      <c r="E28" s="656" t="s">
        <v>885</v>
      </c>
      <c r="F28" s="656" t="s">
        <v>886</v>
      </c>
      <c r="G28" s="656" t="s">
        <v>880</v>
      </c>
      <c r="H28" s="656" t="s">
        <v>881</v>
      </c>
      <c r="I28" s="656" t="s">
        <v>885</v>
      </c>
      <c r="J28" s="839">
        <v>40452</v>
      </c>
      <c r="K28" s="839">
        <v>41030</v>
      </c>
      <c r="L28" s="656" t="s">
        <v>883</v>
      </c>
      <c r="M28" s="656">
        <v>70</v>
      </c>
      <c r="N28" s="656">
        <v>63.000000000000007</v>
      </c>
      <c r="O28" s="656">
        <v>90.000000000000014</v>
      </c>
      <c r="P28" s="656">
        <v>180.00000000000003</v>
      </c>
      <c r="Q28" s="656">
        <v>0</v>
      </c>
      <c r="R28" s="656">
        <v>0</v>
      </c>
      <c r="S28" s="656">
        <v>0</v>
      </c>
      <c r="T28" s="656">
        <v>0</v>
      </c>
      <c r="U28" s="656">
        <v>0</v>
      </c>
      <c r="V28" s="656">
        <v>0</v>
      </c>
      <c r="W28" s="656"/>
      <c r="X28" s="656">
        <v>10</v>
      </c>
      <c r="Y28" s="656" t="s">
        <v>112</v>
      </c>
      <c r="Z28" s="658" t="s">
        <v>112</v>
      </c>
    </row>
    <row r="29" spans="1:26" s="610" customFormat="1" ht="25.5">
      <c r="A29" s="609"/>
      <c r="B29" s="840">
        <v>37011</v>
      </c>
      <c r="C29" s="840">
        <v>8740</v>
      </c>
      <c r="D29" s="657" t="s">
        <v>887</v>
      </c>
      <c r="E29" s="656" t="s">
        <v>888</v>
      </c>
      <c r="F29" s="656" t="s">
        <v>889</v>
      </c>
      <c r="G29" s="656" t="s">
        <v>880</v>
      </c>
      <c r="H29" s="656" t="s">
        <v>881</v>
      </c>
      <c r="I29" s="656" t="s">
        <v>888</v>
      </c>
      <c r="J29" s="839">
        <v>40983</v>
      </c>
      <c r="K29" s="839">
        <v>40983</v>
      </c>
      <c r="L29" s="656" t="s">
        <v>883</v>
      </c>
      <c r="M29" s="656">
        <v>8934</v>
      </c>
      <c r="N29" s="656">
        <v>13400.999999999998</v>
      </c>
      <c r="O29" s="656">
        <v>19144.285714285714</v>
      </c>
      <c r="P29" s="656">
        <v>38288.571428571428</v>
      </c>
      <c r="Q29" s="656">
        <v>0</v>
      </c>
      <c r="R29" s="656">
        <v>0</v>
      </c>
      <c r="S29" s="656">
        <v>0</v>
      </c>
      <c r="T29" s="656">
        <v>0</v>
      </c>
      <c r="U29" s="656">
        <v>0</v>
      </c>
      <c r="V29" s="656">
        <v>0</v>
      </c>
      <c r="W29" s="656"/>
      <c r="X29" s="656">
        <v>10</v>
      </c>
      <c r="Y29" s="656" t="s">
        <v>112</v>
      </c>
      <c r="Z29" s="658" t="s">
        <v>112</v>
      </c>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10979</v>
      </c>
      <c r="N57" s="614">
        <f>SUM(N27:N56)</f>
        <v>22351.5</v>
      </c>
      <c r="O57" s="614">
        <f t="shared" ref="O57:W57" si="2">SUM(O27:O56)</f>
        <v>31930.714285714286</v>
      </c>
      <c r="P57" s="614">
        <f t="shared" si="2"/>
        <v>38468.571428571428</v>
      </c>
      <c r="Q57" s="614">
        <f t="shared" si="2"/>
        <v>25392.857142857145</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10979</v>
      </c>
      <c r="N60" s="619">
        <f t="shared" ref="N60:W60" si="4">SUMIF($Z$27:$Z$56,"landbouw",N27:N56)</f>
        <v>22351.5</v>
      </c>
      <c r="O60" s="619">
        <f t="shared" si="4"/>
        <v>31930.714285714286</v>
      </c>
      <c r="P60" s="619">
        <f t="shared" si="4"/>
        <v>38468.571428571428</v>
      </c>
      <c r="Q60" s="619">
        <f t="shared" si="4"/>
        <v>25392.857142857145</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15839.999999999998</v>
      </c>
      <c r="C100" s="648">
        <f t="shared" si="9"/>
        <v>10455.882352941177</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22628.571428571428</v>
      </c>
      <c r="C101" s="651">
        <f t="shared" ref="C101:H101" si="10">$B$97*Q57</f>
        <v>14936.974789915968</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14790.955425890254</v>
      </c>
      <c r="D10" s="703">
        <f ca="1">tertiair!C16</f>
        <v>0</v>
      </c>
      <c r="E10" s="703">
        <f ca="1">tertiair!D16</f>
        <v>13920.147548776509</v>
      </c>
      <c r="F10" s="703">
        <f>tertiair!E16</f>
        <v>99.915877526226467</v>
      </c>
      <c r="G10" s="703">
        <f ca="1">tertiair!F16</f>
        <v>2790.7151633856583</v>
      </c>
      <c r="H10" s="703">
        <f>tertiair!G16</f>
        <v>0</v>
      </c>
      <c r="I10" s="703">
        <f>tertiair!H16</f>
        <v>0</v>
      </c>
      <c r="J10" s="703">
        <f>tertiair!I16</f>
        <v>0</v>
      </c>
      <c r="K10" s="703">
        <f>tertiair!J16</f>
        <v>0</v>
      </c>
      <c r="L10" s="703">
        <f>tertiair!K16</f>
        <v>0</v>
      </c>
      <c r="M10" s="703">
        <f ca="1">tertiair!L16</f>
        <v>0</v>
      </c>
      <c r="N10" s="703">
        <f>tertiair!M16</f>
        <v>0</v>
      </c>
      <c r="O10" s="703">
        <f ca="1">tertiair!N16</f>
        <v>978.80230645516031</v>
      </c>
      <c r="P10" s="703">
        <f>tertiair!O16</f>
        <v>0</v>
      </c>
      <c r="Q10" s="704">
        <f>tertiair!P16</f>
        <v>0</v>
      </c>
      <c r="R10" s="706">
        <f ca="1">SUM(C10:Q10)</f>
        <v>32580.536322033808</v>
      </c>
      <c r="S10" s="68"/>
    </row>
    <row r="11" spans="1:19" s="458" customFormat="1">
      <c r="A11" s="859" t="s">
        <v>225</v>
      </c>
      <c r="B11" s="864"/>
      <c r="C11" s="703">
        <f>huishoudens!B8</f>
        <v>12584.183825229386</v>
      </c>
      <c r="D11" s="703">
        <f>huishoudens!C8</f>
        <v>0</v>
      </c>
      <c r="E11" s="703">
        <f>huishoudens!D8</f>
        <v>23780.099297477773</v>
      </c>
      <c r="F11" s="703">
        <f>huishoudens!E8</f>
        <v>3061.965381807513</v>
      </c>
      <c r="G11" s="703">
        <f>huishoudens!F8</f>
        <v>10237.103992605789</v>
      </c>
      <c r="H11" s="703">
        <f>huishoudens!G8</f>
        <v>0</v>
      </c>
      <c r="I11" s="703">
        <f>huishoudens!H8</f>
        <v>0</v>
      </c>
      <c r="J11" s="703">
        <f>huishoudens!I8</f>
        <v>0</v>
      </c>
      <c r="K11" s="703">
        <f>huishoudens!J8</f>
        <v>1685.1448050686386</v>
      </c>
      <c r="L11" s="703">
        <f>huishoudens!K8</f>
        <v>0</v>
      </c>
      <c r="M11" s="703">
        <f>huishoudens!L8</f>
        <v>0</v>
      </c>
      <c r="N11" s="703">
        <f>huishoudens!M8</f>
        <v>0</v>
      </c>
      <c r="O11" s="703">
        <f>huishoudens!N8</f>
        <v>8854.1241520037929</v>
      </c>
      <c r="P11" s="703">
        <f>huishoudens!O8</f>
        <v>26.576666666666668</v>
      </c>
      <c r="Q11" s="704">
        <f>huishoudens!P8</f>
        <v>133.46666666666667</v>
      </c>
      <c r="R11" s="706">
        <f>SUM(C11:Q11)</f>
        <v>60362.664787526228</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11727.523740778797</v>
      </c>
      <c r="D13" s="703">
        <f>industrie!C18</f>
        <v>0</v>
      </c>
      <c r="E13" s="703">
        <f>industrie!D18</f>
        <v>2307.0866795252691</v>
      </c>
      <c r="F13" s="703">
        <f>industrie!E18</f>
        <v>100.99290191760528</v>
      </c>
      <c r="G13" s="703">
        <f>industrie!F18</f>
        <v>3109.3992227509116</v>
      </c>
      <c r="H13" s="703">
        <f>industrie!G18</f>
        <v>0</v>
      </c>
      <c r="I13" s="703">
        <f>industrie!H18</f>
        <v>0</v>
      </c>
      <c r="J13" s="703">
        <f>industrie!I18</f>
        <v>0</v>
      </c>
      <c r="K13" s="703">
        <f>industrie!J18</f>
        <v>59.998826530933925</v>
      </c>
      <c r="L13" s="703">
        <f>industrie!K18</f>
        <v>0</v>
      </c>
      <c r="M13" s="703">
        <f>industrie!L18</f>
        <v>0</v>
      </c>
      <c r="N13" s="703">
        <f>industrie!M18</f>
        <v>0</v>
      </c>
      <c r="O13" s="703">
        <f>industrie!N18</f>
        <v>400.00173801679</v>
      </c>
      <c r="P13" s="703">
        <f>industrie!O18</f>
        <v>0</v>
      </c>
      <c r="Q13" s="704">
        <f>industrie!P18</f>
        <v>0</v>
      </c>
      <c r="R13" s="706">
        <f>SUM(C13:Q13)</f>
        <v>17705.003109520305</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39102.66299189844</v>
      </c>
      <c r="D15" s="708">
        <f t="shared" ref="D15:Q15" ca="1" si="0">SUM(D9:D14)</f>
        <v>0</v>
      </c>
      <c r="E15" s="708">
        <f t="shared" ca="1" si="0"/>
        <v>40007.333525779548</v>
      </c>
      <c r="F15" s="708">
        <f t="shared" si="0"/>
        <v>3262.8741612513445</v>
      </c>
      <c r="G15" s="708">
        <f t="shared" ca="1" si="0"/>
        <v>16137.21837874236</v>
      </c>
      <c r="H15" s="708">
        <f t="shared" si="0"/>
        <v>0</v>
      </c>
      <c r="I15" s="708">
        <f t="shared" si="0"/>
        <v>0</v>
      </c>
      <c r="J15" s="708">
        <f t="shared" si="0"/>
        <v>0</v>
      </c>
      <c r="K15" s="708">
        <f t="shared" si="0"/>
        <v>1745.1436315995725</v>
      </c>
      <c r="L15" s="708">
        <f t="shared" si="0"/>
        <v>0</v>
      </c>
      <c r="M15" s="708">
        <f t="shared" ca="1" si="0"/>
        <v>0</v>
      </c>
      <c r="N15" s="708">
        <f t="shared" si="0"/>
        <v>0</v>
      </c>
      <c r="O15" s="708">
        <f t="shared" ca="1" si="0"/>
        <v>10232.928196475743</v>
      </c>
      <c r="P15" s="708">
        <f t="shared" si="0"/>
        <v>26.576666666666668</v>
      </c>
      <c r="Q15" s="709">
        <f t="shared" si="0"/>
        <v>133.46666666666667</v>
      </c>
      <c r="R15" s="710">
        <f ca="1">SUM(R9:R14)</f>
        <v>110648.20421908033</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659.7002652434013</v>
      </c>
      <c r="I18" s="703">
        <f>transport!H54</f>
        <v>0</v>
      </c>
      <c r="J18" s="703">
        <f>transport!I54</f>
        <v>0</v>
      </c>
      <c r="K18" s="703">
        <f>transport!J54</f>
        <v>0</v>
      </c>
      <c r="L18" s="703">
        <f>transport!K54</f>
        <v>0</v>
      </c>
      <c r="M18" s="703">
        <f>transport!L54</f>
        <v>0</v>
      </c>
      <c r="N18" s="703">
        <f>transport!M54</f>
        <v>28.968526890496094</v>
      </c>
      <c r="O18" s="703">
        <f>transport!N54</f>
        <v>0</v>
      </c>
      <c r="P18" s="703">
        <f>transport!O54</f>
        <v>0</v>
      </c>
      <c r="Q18" s="704">
        <f>transport!P54</f>
        <v>0</v>
      </c>
      <c r="R18" s="706">
        <f>SUM(C18:Q18)</f>
        <v>688.66879213389734</v>
      </c>
      <c r="S18" s="68"/>
    </row>
    <row r="19" spans="1:19" s="458" customFormat="1" ht="15" thickBot="1">
      <c r="A19" s="859" t="s">
        <v>307</v>
      </c>
      <c r="B19" s="864"/>
      <c r="C19" s="712">
        <f>transport!B14</f>
        <v>1.373323131149105</v>
      </c>
      <c r="D19" s="712">
        <f>transport!C14</f>
        <v>0</v>
      </c>
      <c r="E19" s="712">
        <f>transport!D14</f>
        <v>3.7425153544037335</v>
      </c>
      <c r="F19" s="712">
        <f>transport!E14</f>
        <v>217.53596506052321</v>
      </c>
      <c r="G19" s="712">
        <f>transport!F14</f>
        <v>0</v>
      </c>
      <c r="H19" s="712">
        <f>transport!G14</f>
        <v>51386.258725875625</v>
      </c>
      <c r="I19" s="712">
        <f>transport!H14</f>
        <v>8328.7462372944283</v>
      </c>
      <c r="J19" s="712">
        <f>transport!I14</f>
        <v>0</v>
      </c>
      <c r="K19" s="712">
        <f>transport!J14</f>
        <v>0</v>
      </c>
      <c r="L19" s="712">
        <f>transport!K14</f>
        <v>0</v>
      </c>
      <c r="M19" s="712">
        <f>transport!L14</f>
        <v>0</v>
      </c>
      <c r="N19" s="712">
        <f>transport!M14</f>
        <v>2669.2345925673408</v>
      </c>
      <c r="O19" s="712">
        <f>transport!N14</f>
        <v>0</v>
      </c>
      <c r="P19" s="712">
        <f>transport!O14</f>
        <v>0</v>
      </c>
      <c r="Q19" s="713">
        <f>transport!P14</f>
        <v>0</v>
      </c>
      <c r="R19" s="714">
        <f>SUM(C19:Q19)</f>
        <v>62606.891359283472</v>
      </c>
      <c r="S19" s="68"/>
    </row>
    <row r="20" spans="1:19" s="458" customFormat="1" ht="15.75" thickBot="1">
      <c r="A20" s="715" t="s">
        <v>230</v>
      </c>
      <c r="B20" s="867"/>
      <c r="C20" s="862">
        <f>SUM(C17:C19)</f>
        <v>1.373323131149105</v>
      </c>
      <c r="D20" s="716">
        <f t="shared" ref="D20:R20" si="1">SUM(D17:D19)</f>
        <v>0</v>
      </c>
      <c r="E20" s="716">
        <f t="shared" si="1"/>
        <v>3.7425153544037335</v>
      </c>
      <c r="F20" s="716">
        <f t="shared" si="1"/>
        <v>217.53596506052321</v>
      </c>
      <c r="G20" s="716">
        <f t="shared" si="1"/>
        <v>0</v>
      </c>
      <c r="H20" s="716">
        <f t="shared" si="1"/>
        <v>52045.958991119027</v>
      </c>
      <c r="I20" s="716">
        <f t="shared" si="1"/>
        <v>8328.7462372944283</v>
      </c>
      <c r="J20" s="716">
        <f t="shared" si="1"/>
        <v>0</v>
      </c>
      <c r="K20" s="716">
        <f t="shared" si="1"/>
        <v>0</v>
      </c>
      <c r="L20" s="716">
        <f t="shared" si="1"/>
        <v>0</v>
      </c>
      <c r="M20" s="716">
        <f t="shared" si="1"/>
        <v>0</v>
      </c>
      <c r="N20" s="716">
        <f t="shared" si="1"/>
        <v>2698.2031194578367</v>
      </c>
      <c r="O20" s="716">
        <f t="shared" si="1"/>
        <v>0</v>
      </c>
      <c r="P20" s="716">
        <f t="shared" si="1"/>
        <v>0</v>
      </c>
      <c r="Q20" s="717">
        <f t="shared" si="1"/>
        <v>0</v>
      </c>
      <c r="R20" s="718">
        <f t="shared" si="1"/>
        <v>63295.560151417369</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6914.46064809375</v>
      </c>
      <c r="D22" s="712">
        <f>+landbouw!C8</f>
        <v>31930.714285714286</v>
      </c>
      <c r="E22" s="712">
        <f>+landbouw!D8</f>
        <v>0</v>
      </c>
      <c r="F22" s="712">
        <f>+landbouw!E8</f>
        <v>65.138852145648869</v>
      </c>
      <c r="G22" s="712">
        <f>+landbouw!F8</f>
        <v>22564.179802690269</v>
      </c>
      <c r="H22" s="712">
        <f>+landbouw!G8</f>
        <v>0</v>
      </c>
      <c r="I22" s="712">
        <f>+landbouw!H8</f>
        <v>0</v>
      </c>
      <c r="J22" s="712">
        <f>+landbouw!I8</f>
        <v>0</v>
      </c>
      <c r="K22" s="712">
        <f>+landbouw!J8</f>
        <v>855.35241409932894</v>
      </c>
      <c r="L22" s="712">
        <f>+landbouw!K8</f>
        <v>0</v>
      </c>
      <c r="M22" s="712">
        <f>+landbouw!L8</f>
        <v>0</v>
      </c>
      <c r="N22" s="712">
        <f>+landbouw!M8</f>
        <v>0</v>
      </c>
      <c r="O22" s="712">
        <f>+landbouw!N8</f>
        <v>0</v>
      </c>
      <c r="P22" s="712">
        <f>+landbouw!O8</f>
        <v>0</v>
      </c>
      <c r="Q22" s="713">
        <f>+landbouw!P8</f>
        <v>0</v>
      </c>
      <c r="R22" s="714">
        <f>SUM(C22:Q22)</f>
        <v>62329.846002743281</v>
      </c>
      <c r="S22" s="68"/>
    </row>
    <row r="23" spans="1:19" s="458" customFormat="1" ht="17.25" thickTop="1" thickBot="1">
      <c r="A23" s="719" t="s">
        <v>116</v>
      </c>
      <c r="B23" s="853"/>
      <c r="C23" s="720">
        <f ca="1">C20+C15+C22</f>
        <v>46018.49696312334</v>
      </c>
      <c r="D23" s="720">
        <f t="shared" ref="D23:Q23" ca="1" si="2">D20+D15+D22</f>
        <v>31930.714285714286</v>
      </c>
      <c r="E23" s="720">
        <f t="shared" ca="1" si="2"/>
        <v>40011.076041133951</v>
      </c>
      <c r="F23" s="720">
        <f t="shared" si="2"/>
        <v>3545.5489784575166</v>
      </c>
      <c r="G23" s="720">
        <f t="shared" ca="1" si="2"/>
        <v>38701.398181432625</v>
      </c>
      <c r="H23" s="720">
        <f t="shared" si="2"/>
        <v>52045.958991119027</v>
      </c>
      <c r="I23" s="720">
        <f t="shared" si="2"/>
        <v>8328.7462372944283</v>
      </c>
      <c r="J23" s="720">
        <f t="shared" si="2"/>
        <v>0</v>
      </c>
      <c r="K23" s="720">
        <f t="shared" si="2"/>
        <v>2600.4960456989015</v>
      </c>
      <c r="L23" s="720">
        <f t="shared" si="2"/>
        <v>0</v>
      </c>
      <c r="M23" s="720">
        <f t="shared" ca="1" si="2"/>
        <v>0</v>
      </c>
      <c r="N23" s="720">
        <f t="shared" si="2"/>
        <v>2698.2031194578367</v>
      </c>
      <c r="O23" s="720">
        <f t="shared" ca="1" si="2"/>
        <v>10232.928196475743</v>
      </c>
      <c r="P23" s="720">
        <f t="shared" si="2"/>
        <v>26.576666666666668</v>
      </c>
      <c r="Q23" s="721">
        <f t="shared" si="2"/>
        <v>133.46666666666667</v>
      </c>
      <c r="R23" s="722">
        <f ca="1">R20+R15+R22</f>
        <v>236273.61037324098</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2429.8955276470779</v>
      </c>
      <c r="D36" s="703">
        <f ca="1">tertiair!C20</f>
        <v>0</v>
      </c>
      <c r="E36" s="703">
        <f ca="1">tertiair!D20</f>
        <v>2811.8698048528549</v>
      </c>
      <c r="F36" s="703">
        <f>tertiair!E20</f>
        <v>22.680904198453408</v>
      </c>
      <c r="G36" s="703">
        <f ca="1">tertiair!F20</f>
        <v>745.12094862397078</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6009.5671853223566</v>
      </c>
    </row>
    <row r="37" spans="1:18">
      <c r="A37" s="874" t="s">
        <v>225</v>
      </c>
      <c r="B37" s="881"/>
      <c r="C37" s="703">
        <f ca="1">huishoudens!B12</f>
        <v>2067.3615135428686</v>
      </c>
      <c r="D37" s="703">
        <f ca="1">huishoudens!C12</f>
        <v>0</v>
      </c>
      <c r="E37" s="703">
        <f>huishoudens!D12</f>
        <v>4803.5800580905106</v>
      </c>
      <c r="F37" s="703">
        <f>huishoudens!E12</f>
        <v>695.06614167030546</v>
      </c>
      <c r="G37" s="703">
        <f>huishoudens!F12</f>
        <v>2733.3067660257457</v>
      </c>
      <c r="H37" s="703">
        <f>huishoudens!G12</f>
        <v>0</v>
      </c>
      <c r="I37" s="703">
        <f>huishoudens!H12</f>
        <v>0</v>
      </c>
      <c r="J37" s="703">
        <f>huishoudens!I12</f>
        <v>0</v>
      </c>
      <c r="K37" s="703">
        <f>huishoudens!J12</f>
        <v>596.541260994298</v>
      </c>
      <c r="L37" s="703">
        <f>huishoudens!K12</f>
        <v>0</v>
      </c>
      <c r="M37" s="703">
        <f>huishoudens!L12</f>
        <v>0</v>
      </c>
      <c r="N37" s="703">
        <f>huishoudens!M12</f>
        <v>0</v>
      </c>
      <c r="O37" s="703">
        <f>huishoudens!N12</f>
        <v>0</v>
      </c>
      <c r="P37" s="703">
        <f>huishoudens!O12</f>
        <v>0</v>
      </c>
      <c r="Q37" s="813">
        <f>huishoudens!P12</f>
        <v>0</v>
      </c>
      <c r="R37" s="906">
        <f ca="1">SUM(C37:Q37)</f>
        <v>10895.855740323728</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1926.6272304635886</v>
      </c>
      <c r="D39" s="703">
        <f ca="1">industrie!C22</f>
        <v>0</v>
      </c>
      <c r="E39" s="703">
        <f>industrie!D22</f>
        <v>466.03150926410439</v>
      </c>
      <c r="F39" s="703">
        <f>industrie!E22</f>
        <v>22.925388735296398</v>
      </c>
      <c r="G39" s="703">
        <f>industrie!F22</f>
        <v>830.20959247449343</v>
      </c>
      <c r="H39" s="703">
        <f>industrie!G22</f>
        <v>0</v>
      </c>
      <c r="I39" s="703">
        <f>industrie!H22</f>
        <v>0</v>
      </c>
      <c r="J39" s="703">
        <f>industrie!I22</f>
        <v>0</v>
      </c>
      <c r="K39" s="703">
        <f>industrie!J22</f>
        <v>21.23958459195061</v>
      </c>
      <c r="L39" s="703">
        <f>industrie!K22</f>
        <v>0</v>
      </c>
      <c r="M39" s="703">
        <f>industrie!L22</f>
        <v>0</v>
      </c>
      <c r="N39" s="703">
        <f>industrie!M22</f>
        <v>0</v>
      </c>
      <c r="O39" s="703">
        <f>industrie!N22</f>
        <v>0</v>
      </c>
      <c r="P39" s="703">
        <f>industrie!O22</f>
        <v>0</v>
      </c>
      <c r="Q39" s="813">
        <f>industrie!P22</f>
        <v>0</v>
      </c>
      <c r="R39" s="907">
        <f ca="1">SUM(C39:Q39)</f>
        <v>3267.0333055294336</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6423.8842716535355</v>
      </c>
      <c r="D41" s="748">
        <f t="shared" ref="D41:R41" ca="1" si="4">SUM(D35:D40)</f>
        <v>0</v>
      </c>
      <c r="E41" s="748">
        <f t="shared" ca="1" si="4"/>
        <v>8081.4813722074696</v>
      </c>
      <c r="F41" s="748">
        <f t="shared" si="4"/>
        <v>740.6724346040553</v>
      </c>
      <c r="G41" s="748">
        <f t="shared" ca="1" si="4"/>
        <v>4308.6373071242097</v>
      </c>
      <c r="H41" s="748">
        <f t="shared" si="4"/>
        <v>0</v>
      </c>
      <c r="I41" s="748">
        <f t="shared" si="4"/>
        <v>0</v>
      </c>
      <c r="J41" s="748">
        <f t="shared" si="4"/>
        <v>0</v>
      </c>
      <c r="K41" s="748">
        <f t="shared" si="4"/>
        <v>617.78084558624857</v>
      </c>
      <c r="L41" s="748">
        <f t="shared" si="4"/>
        <v>0</v>
      </c>
      <c r="M41" s="748">
        <f t="shared" ca="1" si="4"/>
        <v>0</v>
      </c>
      <c r="N41" s="748">
        <f t="shared" si="4"/>
        <v>0</v>
      </c>
      <c r="O41" s="748">
        <f t="shared" ca="1" si="4"/>
        <v>0</v>
      </c>
      <c r="P41" s="748">
        <f t="shared" si="4"/>
        <v>0</v>
      </c>
      <c r="Q41" s="749">
        <f t="shared" si="4"/>
        <v>0</v>
      </c>
      <c r="R41" s="750">
        <f t="shared" ca="1" si="4"/>
        <v>20172.456231175518</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176.13997081998815</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176.13997081998815</v>
      </c>
    </row>
    <row r="45" spans="1:18" ht="15" thickBot="1">
      <c r="A45" s="877" t="s">
        <v>307</v>
      </c>
      <c r="B45" s="887"/>
      <c r="C45" s="712">
        <f ca="1">transport!B18</f>
        <v>0.22561299377268854</v>
      </c>
      <c r="D45" s="712">
        <f>transport!C18</f>
        <v>0</v>
      </c>
      <c r="E45" s="712">
        <f>transport!D18</f>
        <v>0.75598810158955421</v>
      </c>
      <c r="F45" s="712">
        <f>transport!E18</f>
        <v>49.380664068738767</v>
      </c>
      <c r="G45" s="712">
        <f>transport!F18</f>
        <v>0</v>
      </c>
      <c r="H45" s="712">
        <f>transport!G18</f>
        <v>13720.131079808792</v>
      </c>
      <c r="I45" s="712">
        <f>transport!H18</f>
        <v>2073.8578130863125</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15844.351158059206</v>
      </c>
    </row>
    <row r="46" spans="1:18" ht="15.75" thickBot="1">
      <c r="A46" s="875" t="s">
        <v>230</v>
      </c>
      <c r="B46" s="888"/>
      <c r="C46" s="748">
        <f t="shared" ref="C46:R46" ca="1" si="5">SUM(C43:C45)</f>
        <v>0.22561299377268854</v>
      </c>
      <c r="D46" s="748">
        <f t="shared" ca="1" si="5"/>
        <v>0</v>
      </c>
      <c r="E46" s="748">
        <f t="shared" si="5"/>
        <v>0.75598810158955421</v>
      </c>
      <c r="F46" s="748">
        <f t="shared" si="5"/>
        <v>49.380664068738767</v>
      </c>
      <c r="G46" s="748">
        <f t="shared" si="5"/>
        <v>0</v>
      </c>
      <c r="H46" s="748">
        <f t="shared" si="5"/>
        <v>13896.27105062878</v>
      </c>
      <c r="I46" s="748">
        <f t="shared" si="5"/>
        <v>2073.8578130863125</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16020.491128879194</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1135.9250650898</v>
      </c>
      <c r="D48" s="703">
        <f ca="1">+landbouw!C12</f>
        <v>4570.971428571429</v>
      </c>
      <c r="E48" s="703">
        <f>+landbouw!D12</f>
        <v>0</v>
      </c>
      <c r="F48" s="703">
        <f>+landbouw!E12</f>
        <v>14.786519437062294</v>
      </c>
      <c r="G48" s="703">
        <f>+landbouw!F12</f>
        <v>6024.6360073183023</v>
      </c>
      <c r="H48" s="703">
        <f>+landbouw!G12</f>
        <v>0</v>
      </c>
      <c r="I48" s="703">
        <f>+landbouw!H12</f>
        <v>0</v>
      </c>
      <c r="J48" s="703">
        <f>+landbouw!I12</f>
        <v>0</v>
      </c>
      <c r="K48" s="703">
        <f>+landbouw!J12</f>
        <v>302.79475459116242</v>
      </c>
      <c r="L48" s="703">
        <f>+landbouw!K12</f>
        <v>0</v>
      </c>
      <c r="M48" s="703">
        <f>+landbouw!L12</f>
        <v>0</v>
      </c>
      <c r="N48" s="703">
        <f>+landbouw!M12</f>
        <v>0</v>
      </c>
      <c r="O48" s="703">
        <f>+landbouw!N12</f>
        <v>0</v>
      </c>
      <c r="P48" s="703">
        <f>+landbouw!O12</f>
        <v>0</v>
      </c>
      <c r="Q48" s="704">
        <f>+landbouw!P12</f>
        <v>0</v>
      </c>
      <c r="R48" s="746">
        <f ca="1">SUM(C48:Q48)</f>
        <v>12049.113775007758</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7560.034949737108</v>
      </c>
      <c r="D53" s="758">
        <f t="shared" ref="D53:Q53" ca="1" si="6">D41+D46+D48</f>
        <v>4570.971428571429</v>
      </c>
      <c r="E53" s="758">
        <f t="shared" ca="1" si="6"/>
        <v>8082.2373603090591</v>
      </c>
      <c r="F53" s="758">
        <f t="shared" si="6"/>
        <v>804.83961810985636</v>
      </c>
      <c r="G53" s="758">
        <f t="shared" ca="1" si="6"/>
        <v>10333.273314442511</v>
      </c>
      <c r="H53" s="758">
        <f t="shared" si="6"/>
        <v>13896.27105062878</v>
      </c>
      <c r="I53" s="758">
        <f t="shared" si="6"/>
        <v>2073.8578130863125</v>
      </c>
      <c r="J53" s="758">
        <f t="shared" si="6"/>
        <v>0</v>
      </c>
      <c r="K53" s="758">
        <f t="shared" si="6"/>
        <v>920.57560017741093</v>
      </c>
      <c r="L53" s="758">
        <f t="shared" si="6"/>
        <v>0</v>
      </c>
      <c r="M53" s="758">
        <f t="shared" ca="1" si="6"/>
        <v>0</v>
      </c>
      <c r="N53" s="758">
        <f t="shared" si="6"/>
        <v>0</v>
      </c>
      <c r="O53" s="758">
        <f t="shared" ca="1" si="6"/>
        <v>0</v>
      </c>
      <c r="P53" s="758">
        <f>P41+P46+P48</f>
        <v>0</v>
      </c>
      <c r="Q53" s="759">
        <f t="shared" si="6"/>
        <v>0</v>
      </c>
      <c r="R53" s="760">
        <f ca="1">R41+R46+R48</f>
        <v>48242.061135062468</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0.16428252656307527</v>
      </c>
      <c r="D55" s="824">
        <f t="shared" ca="1" si="7"/>
        <v>0.14315280853633985</v>
      </c>
      <c r="E55" s="824">
        <f t="shared" ca="1" si="7"/>
        <v>0.20200000000000004</v>
      </c>
      <c r="F55" s="824">
        <f t="shared" si="7"/>
        <v>0.22700000000000004</v>
      </c>
      <c r="G55" s="824">
        <f t="shared" ca="1" si="7"/>
        <v>0.26700000000000002</v>
      </c>
      <c r="H55" s="824">
        <f t="shared" si="7"/>
        <v>0.26700000000000002</v>
      </c>
      <c r="I55" s="824">
        <f t="shared" si="7"/>
        <v>0.24899999999999997</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3936.8840683852986</v>
      </c>
      <c r="C66" s="780">
        <f>'lokale energieproductie'!B6</f>
        <v>3936.8840683852986</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22351.5</v>
      </c>
      <c r="C67" s="779">
        <f>B67*IFERROR(SUM(J67:L67)/SUM(D67:M67),0)</f>
        <v>8887.5000000000018</v>
      </c>
      <c r="D67" s="811">
        <f>'lokale energieproductie'!C7</f>
        <v>15839.999999999998</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10455.882352941177</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3199.68</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26288.384068385298</v>
      </c>
      <c r="C69" s="788">
        <f>SUM(C64:C68)</f>
        <v>12824.384068385301</v>
      </c>
      <c r="D69" s="789">
        <f t="shared" ref="D69:M69" si="8">SUM(D67:D68)</f>
        <v>15839.999999999998</v>
      </c>
      <c r="E69" s="789">
        <f t="shared" si="8"/>
        <v>0</v>
      </c>
      <c r="F69" s="789">
        <f t="shared" si="8"/>
        <v>0</v>
      </c>
      <c r="G69" s="789">
        <f t="shared" si="8"/>
        <v>0</v>
      </c>
      <c r="H69" s="789">
        <f t="shared" si="8"/>
        <v>0</v>
      </c>
      <c r="I69" s="789">
        <f t="shared" si="8"/>
        <v>0</v>
      </c>
      <c r="J69" s="789">
        <f t="shared" si="8"/>
        <v>0</v>
      </c>
      <c r="K69" s="789">
        <f t="shared" si="8"/>
        <v>10455.882352941177</v>
      </c>
      <c r="L69" s="789">
        <f t="shared" si="8"/>
        <v>0</v>
      </c>
      <c r="M69" s="919">
        <f t="shared" si="8"/>
        <v>0</v>
      </c>
      <c r="N69" s="790">
        <v>0</v>
      </c>
      <c r="O69" s="790">
        <f>SUM(O67:O68)</f>
        <v>3199.68</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31930.714285714286</v>
      </c>
      <c r="C78" s="802">
        <f>B78*IFERROR(SUM(I78:L78)/SUM(D78:M78),0)</f>
        <v>12696.428571428572</v>
      </c>
      <c r="D78" s="817">
        <f>'lokale energieproductie'!C16</f>
        <v>22628.571428571428</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14936.974789915968</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4570.971428571429</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31930.714285714286</v>
      </c>
      <c r="C81" s="788">
        <f>SUM(C78:C80)</f>
        <v>12696.428571428572</v>
      </c>
      <c r="D81" s="788">
        <f t="shared" ref="D81:P81" si="9">SUM(D78:D80)</f>
        <v>22628.571428571428</v>
      </c>
      <c r="E81" s="788">
        <f t="shared" si="9"/>
        <v>0</v>
      </c>
      <c r="F81" s="788">
        <f t="shared" si="9"/>
        <v>0</v>
      </c>
      <c r="G81" s="788">
        <f t="shared" si="9"/>
        <v>0</v>
      </c>
      <c r="H81" s="788">
        <f t="shared" si="9"/>
        <v>0</v>
      </c>
      <c r="I81" s="788">
        <f t="shared" si="9"/>
        <v>0</v>
      </c>
      <c r="J81" s="788">
        <f t="shared" si="9"/>
        <v>0</v>
      </c>
      <c r="K81" s="788">
        <f t="shared" si="9"/>
        <v>14936.974789915968</v>
      </c>
      <c r="L81" s="788">
        <f t="shared" si="9"/>
        <v>0</v>
      </c>
      <c r="M81" s="788">
        <f t="shared" si="9"/>
        <v>0</v>
      </c>
      <c r="N81" s="788">
        <v>0</v>
      </c>
      <c r="O81" s="788">
        <f>SUM(O78:O80)</f>
        <v>4570.971428571429</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12584.183825229386</v>
      </c>
      <c r="C4" s="462">
        <f>huishoudens!C8</f>
        <v>0</v>
      </c>
      <c r="D4" s="462">
        <f>huishoudens!D8</f>
        <v>23780.099297477773</v>
      </c>
      <c r="E4" s="462">
        <f>huishoudens!E8</f>
        <v>3061.965381807513</v>
      </c>
      <c r="F4" s="462">
        <f>huishoudens!F8</f>
        <v>10237.103992605789</v>
      </c>
      <c r="G4" s="462">
        <f>huishoudens!G8</f>
        <v>0</v>
      </c>
      <c r="H4" s="462">
        <f>huishoudens!H8</f>
        <v>0</v>
      </c>
      <c r="I4" s="462">
        <f>huishoudens!I8</f>
        <v>0</v>
      </c>
      <c r="J4" s="462">
        <f>huishoudens!J8</f>
        <v>1685.1448050686386</v>
      </c>
      <c r="K4" s="462">
        <f>huishoudens!K8</f>
        <v>0</v>
      </c>
      <c r="L4" s="462">
        <f>huishoudens!L8</f>
        <v>0</v>
      </c>
      <c r="M4" s="462">
        <f>huishoudens!M8</f>
        <v>0</v>
      </c>
      <c r="N4" s="462">
        <f>huishoudens!N8</f>
        <v>8854.1241520037929</v>
      </c>
      <c r="O4" s="462">
        <f>huishoudens!O8</f>
        <v>26.576666666666668</v>
      </c>
      <c r="P4" s="463">
        <f>huishoudens!P8</f>
        <v>133.46666666666667</v>
      </c>
      <c r="Q4" s="464">
        <f>SUM(B4:P4)</f>
        <v>60362.664787526228</v>
      </c>
    </row>
    <row r="5" spans="1:17">
      <c r="A5" s="461" t="s">
        <v>156</v>
      </c>
      <c r="B5" s="462">
        <f ca="1">tertiair!B16</f>
        <v>14148.194425890253</v>
      </c>
      <c r="C5" s="462">
        <f ca="1">tertiair!C16</f>
        <v>0</v>
      </c>
      <c r="D5" s="462">
        <f ca="1">tertiair!D16</f>
        <v>13920.147548776509</v>
      </c>
      <c r="E5" s="462">
        <f>tertiair!E16</f>
        <v>99.915877526226467</v>
      </c>
      <c r="F5" s="462">
        <f ca="1">tertiair!F16</f>
        <v>2790.7151633856583</v>
      </c>
      <c r="G5" s="462">
        <f>tertiair!G16</f>
        <v>0</v>
      </c>
      <c r="H5" s="462">
        <f>tertiair!H16</f>
        <v>0</v>
      </c>
      <c r="I5" s="462">
        <f>tertiair!I16</f>
        <v>0</v>
      </c>
      <c r="J5" s="462">
        <f>tertiair!J16</f>
        <v>0</v>
      </c>
      <c r="K5" s="462">
        <f>tertiair!K16</f>
        <v>0</v>
      </c>
      <c r="L5" s="462">
        <f ca="1">tertiair!L16</f>
        <v>0</v>
      </c>
      <c r="M5" s="462">
        <f>tertiair!M16</f>
        <v>0</v>
      </c>
      <c r="N5" s="462">
        <f ca="1">tertiair!N16</f>
        <v>978.80230645516031</v>
      </c>
      <c r="O5" s="462">
        <f>tertiair!O16</f>
        <v>0</v>
      </c>
      <c r="P5" s="463">
        <f>tertiair!P16</f>
        <v>0</v>
      </c>
      <c r="Q5" s="461">
        <f t="shared" ref="Q5:Q13" ca="1" si="0">SUM(B5:P5)</f>
        <v>31937.775322033809</v>
      </c>
    </row>
    <row r="6" spans="1:17">
      <c r="A6" s="461" t="s">
        <v>194</v>
      </c>
      <c r="B6" s="462">
        <f>'openbare verlichting'!B8</f>
        <v>642.76099999999997</v>
      </c>
      <c r="C6" s="462"/>
      <c r="D6" s="462"/>
      <c r="E6" s="462"/>
      <c r="F6" s="462"/>
      <c r="G6" s="462"/>
      <c r="H6" s="462"/>
      <c r="I6" s="462"/>
      <c r="J6" s="462"/>
      <c r="K6" s="462"/>
      <c r="L6" s="462"/>
      <c r="M6" s="462"/>
      <c r="N6" s="462"/>
      <c r="O6" s="462"/>
      <c r="P6" s="463"/>
      <c r="Q6" s="461">
        <f t="shared" si="0"/>
        <v>642.76099999999997</v>
      </c>
    </row>
    <row r="7" spans="1:17">
      <c r="A7" s="461" t="s">
        <v>112</v>
      </c>
      <c r="B7" s="462">
        <f>landbouw!B8</f>
        <v>6914.46064809375</v>
      </c>
      <c r="C7" s="462">
        <f>landbouw!C8</f>
        <v>31930.714285714286</v>
      </c>
      <c r="D7" s="462">
        <f>landbouw!D8</f>
        <v>0</v>
      </c>
      <c r="E7" s="462">
        <f>landbouw!E8</f>
        <v>65.138852145648869</v>
      </c>
      <c r="F7" s="462">
        <f>landbouw!F8</f>
        <v>22564.179802690269</v>
      </c>
      <c r="G7" s="462">
        <f>landbouw!G8</f>
        <v>0</v>
      </c>
      <c r="H7" s="462">
        <f>landbouw!H8</f>
        <v>0</v>
      </c>
      <c r="I7" s="462">
        <f>landbouw!I8</f>
        <v>0</v>
      </c>
      <c r="J7" s="462">
        <f>landbouw!J8</f>
        <v>855.35241409932894</v>
      </c>
      <c r="K7" s="462">
        <f>landbouw!K8</f>
        <v>0</v>
      </c>
      <c r="L7" s="462">
        <f>landbouw!L8</f>
        <v>0</v>
      </c>
      <c r="M7" s="462">
        <f>landbouw!M8</f>
        <v>0</v>
      </c>
      <c r="N7" s="462">
        <f>landbouw!N8</f>
        <v>0</v>
      </c>
      <c r="O7" s="462">
        <f>landbouw!O8</f>
        <v>0</v>
      </c>
      <c r="P7" s="463">
        <f>landbouw!P8</f>
        <v>0</v>
      </c>
      <c r="Q7" s="461">
        <f t="shared" si="0"/>
        <v>62329.846002743281</v>
      </c>
    </row>
    <row r="8" spans="1:17">
      <c r="A8" s="461" t="s">
        <v>685</v>
      </c>
      <c r="B8" s="462">
        <f>industrie!B18</f>
        <v>11727.523740778797</v>
      </c>
      <c r="C8" s="462">
        <f>industrie!C18</f>
        <v>0</v>
      </c>
      <c r="D8" s="462">
        <f>industrie!D18</f>
        <v>2307.0866795252691</v>
      </c>
      <c r="E8" s="462">
        <f>industrie!E18</f>
        <v>100.99290191760528</v>
      </c>
      <c r="F8" s="462">
        <f>industrie!F18</f>
        <v>3109.3992227509116</v>
      </c>
      <c r="G8" s="462">
        <f>industrie!G18</f>
        <v>0</v>
      </c>
      <c r="H8" s="462">
        <f>industrie!H18</f>
        <v>0</v>
      </c>
      <c r="I8" s="462">
        <f>industrie!I18</f>
        <v>0</v>
      </c>
      <c r="J8" s="462">
        <f>industrie!J18</f>
        <v>59.998826530933925</v>
      </c>
      <c r="K8" s="462">
        <f>industrie!K18</f>
        <v>0</v>
      </c>
      <c r="L8" s="462">
        <f>industrie!L18</f>
        <v>0</v>
      </c>
      <c r="M8" s="462">
        <f>industrie!M18</f>
        <v>0</v>
      </c>
      <c r="N8" s="462">
        <f>industrie!N18</f>
        <v>400.00173801679</v>
      </c>
      <c r="O8" s="462">
        <f>industrie!O18</f>
        <v>0</v>
      </c>
      <c r="P8" s="463">
        <f>industrie!P18</f>
        <v>0</v>
      </c>
      <c r="Q8" s="461">
        <f t="shared" si="0"/>
        <v>17705.003109520305</v>
      </c>
    </row>
    <row r="9" spans="1:17" s="467" customFormat="1">
      <c r="A9" s="465" t="s">
        <v>579</v>
      </c>
      <c r="B9" s="466">
        <f>transport!B14</f>
        <v>1.373323131149105</v>
      </c>
      <c r="C9" s="466">
        <f>transport!C14</f>
        <v>0</v>
      </c>
      <c r="D9" s="466">
        <f>transport!D14</f>
        <v>3.7425153544037335</v>
      </c>
      <c r="E9" s="466">
        <f>transport!E14</f>
        <v>217.53596506052321</v>
      </c>
      <c r="F9" s="466">
        <f>transport!F14</f>
        <v>0</v>
      </c>
      <c r="G9" s="466">
        <f>transport!G14</f>
        <v>51386.258725875625</v>
      </c>
      <c r="H9" s="466">
        <f>transport!H14</f>
        <v>8328.7462372944283</v>
      </c>
      <c r="I9" s="466">
        <f>transport!I14</f>
        <v>0</v>
      </c>
      <c r="J9" s="466">
        <f>transport!J14</f>
        <v>0</v>
      </c>
      <c r="K9" s="466">
        <f>transport!K14</f>
        <v>0</v>
      </c>
      <c r="L9" s="466">
        <f>transport!L14</f>
        <v>0</v>
      </c>
      <c r="M9" s="466">
        <f>transport!M14</f>
        <v>2669.2345925673408</v>
      </c>
      <c r="N9" s="466">
        <f>transport!N14</f>
        <v>0</v>
      </c>
      <c r="O9" s="466">
        <f>transport!O14</f>
        <v>0</v>
      </c>
      <c r="P9" s="466">
        <f>transport!P14</f>
        <v>0</v>
      </c>
      <c r="Q9" s="465">
        <f>SUM(B9:P9)</f>
        <v>62606.891359283472</v>
      </c>
    </row>
    <row r="10" spans="1:17">
      <c r="A10" s="461" t="s">
        <v>569</v>
      </c>
      <c r="B10" s="462">
        <f>transport!B54</f>
        <v>0</v>
      </c>
      <c r="C10" s="462">
        <f>transport!C54</f>
        <v>0</v>
      </c>
      <c r="D10" s="462">
        <f>transport!D54</f>
        <v>0</v>
      </c>
      <c r="E10" s="462">
        <f>transport!E54</f>
        <v>0</v>
      </c>
      <c r="F10" s="462">
        <f>transport!F54</f>
        <v>0</v>
      </c>
      <c r="G10" s="462">
        <f>transport!G54</f>
        <v>659.7002652434013</v>
      </c>
      <c r="H10" s="462">
        <f>transport!H54</f>
        <v>0</v>
      </c>
      <c r="I10" s="462">
        <f>transport!I54</f>
        <v>0</v>
      </c>
      <c r="J10" s="462">
        <f>transport!J54</f>
        <v>0</v>
      </c>
      <c r="K10" s="462">
        <f>transport!K54</f>
        <v>0</v>
      </c>
      <c r="L10" s="462">
        <f>transport!L54</f>
        <v>0</v>
      </c>
      <c r="M10" s="462">
        <f>transport!M54</f>
        <v>28.968526890496094</v>
      </c>
      <c r="N10" s="462">
        <f>transport!N54</f>
        <v>0</v>
      </c>
      <c r="O10" s="462">
        <f>transport!O54</f>
        <v>0</v>
      </c>
      <c r="P10" s="463">
        <f>transport!P54</f>
        <v>0</v>
      </c>
      <c r="Q10" s="461">
        <f t="shared" si="0"/>
        <v>688.66879213389734</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46018.49696312334</v>
      </c>
      <c r="C14" s="472">
        <f t="shared" ref="C14:Q14" ca="1" si="1">SUM(C4:C13)</f>
        <v>31930.714285714286</v>
      </c>
      <c r="D14" s="472">
        <f t="shared" ca="1" si="1"/>
        <v>40011.076041133951</v>
      </c>
      <c r="E14" s="472">
        <f t="shared" si="1"/>
        <v>3545.5489784575166</v>
      </c>
      <c r="F14" s="472">
        <f t="shared" ca="1" si="1"/>
        <v>38701.398181432625</v>
      </c>
      <c r="G14" s="472">
        <f t="shared" si="1"/>
        <v>52045.958991119027</v>
      </c>
      <c r="H14" s="472">
        <f t="shared" si="1"/>
        <v>8328.7462372944283</v>
      </c>
      <c r="I14" s="472">
        <f t="shared" si="1"/>
        <v>0</v>
      </c>
      <c r="J14" s="472">
        <f t="shared" si="1"/>
        <v>2600.4960456989015</v>
      </c>
      <c r="K14" s="472">
        <f t="shared" si="1"/>
        <v>0</v>
      </c>
      <c r="L14" s="472">
        <f t="shared" ca="1" si="1"/>
        <v>0</v>
      </c>
      <c r="M14" s="472">
        <f t="shared" si="1"/>
        <v>2698.2031194578367</v>
      </c>
      <c r="N14" s="472">
        <f t="shared" ca="1" si="1"/>
        <v>10232.928196475743</v>
      </c>
      <c r="O14" s="472">
        <f t="shared" si="1"/>
        <v>26.576666666666668</v>
      </c>
      <c r="P14" s="473">
        <f t="shared" si="1"/>
        <v>133.46666666666667</v>
      </c>
      <c r="Q14" s="473">
        <f t="shared" ca="1" si="1"/>
        <v>236273.61037324098</v>
      </c>
    </row>
    <row r="16" spans="1:17">
      <c r="A16" s="475" t="s">
        <v>574</v>
      </c>
      <c r="B16" s="829">
        <f ca="1">huishoudens!B10</f>
        <v>0.16428252656307527</v>
      </c>
      <c r="C16" s="829">
        <f ca="1">huishoudens!C10</f>
        <v>0.14315280853633985</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2067.3615135428686</v>
      </c>
      <c r="C21" s="462">
        <f t="shared" ref="C21:C30" ca="1" si="3">C4*$C$16</f>
        <v>0</v>
      </c>
      <c r="D21" s="462">
        <f t="shared" ref="D21:D30" si="4">D4*$D$16</f>
        <v>4803.5800580905106</v>
      </c>
      <c r="E21" s="462">
        <f t="shared" ref="E21:E30" si="5">E4*$E$16</f>
        <v>695.06614167030546</v>
      </c>
      <c r="F21" s="462">
        <f t="shared" ref="F21:F30" si="6">F4*$F$16</f>
        <v>2733.3067660257457</v>
      </c>
      <c r="G21" s="462">
        <f t="shared" ref="G21:G30" si="7">G4*$G$16</f>
        <v>0</v>
      </c>
      <c r="H21" s="462">
        <f t="shared" ref="H21:H30" si="8">H4*$H$16</f>
        <v>0</v>
      </c>
      <c r="I21" s="462">
        <f t="shared" ref="I21:I30" si="9">I4*$I$16</f>
        <v>0</v>
      </c>
      <c r="J21" s="462">
        <f t="shared" ref="J21:J30" si="10">J4*$J$16</f>
        <v>596.541260994298</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10895.855740323728</v>
      </c>
    </row>
    <row r="22" spans="1:17">
      <c r="A22" s="461" t="s">
        <v>156</v>
      </c>
      <c r="B22" s="462">
        <f t="shared" ca="1" si="2"/>
        <v>2324.301126590869</v>
      </c>
      <c r="C22" s="462">
        <f t="shared" ca="1" si="3"/>
        <v>0</v>
      </c>
      <c r="D22" s="462">
        <f t="shared" ca="1" si="4"/>
        <v>2811.8698048528549</v>
      </c>
      <c r="E22" s="462">
        <f t="shared" si="5"/>
        <v>22.680904198453408</v>
      </c>
      <c r="F22" s="462">
        <f t="shared" ca="1" si="6"/>
        <v>745.12094862397078</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5903.9727842661478</v>
      </c>
    </row>
    <row r="23" spans="1:17">
      <c r="A23" s="461" t="s">
        <v>194</v>
      </c>
      <c r="B23" s="462">
        <f t="shared" ca="1" si="2"/>
        <v>105.59440105620881</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105.59440105620881</v>
      </c>
    </row>
    <row r="24" spans="1:17">
      <c r="A24" s="461" t="s">
        <v>112</v>
      </c>
      <c r="B24" s="462">
        <f t="shared" ca="1" si="2"/>
        <v>1135.9250650898</v>
      </c>
      <c r="C24" s="462">
        <f t="shared" ca="1" si="3"/>
        <v>4570.971428571429</v>
      </c>
      <c r="D24" s="462">
        <f t="shared" si="4"/>
        <v>0</v>
      </c>
      <c r="E24" s="462">
        <f t="shared" si="5"/>
        <v>14.786519437062294</v>
      </c>
      <c r="F24" s="462">
        <f t="shared" si="6"/>
        <v>6024.6360073183023</v>
      </c>
      <c r="G24" s="462">
        <f t="shared" si="7"/>
        <v>0</v>
      </c>
      <c r="H24" s="462">
        <f t="shared" si="8"/>
        <v>0</v>
      </c>
      <c r="I24" s="462">
        <f t="shared" si="9"/>
        <v>0</v>
      </c>
      <c r="J24" s="462">
        <f t="shared" si="10"/>
        <v>302.79475459116242</v>
      </c>
      <c r="K24" s="462">
        <f t="shared" si="11"/>
        <v>0</v>
      </c>
      <c r="L24" s="462">
        <f t="shared" si="12"/>
        <v>0</v>
      </c>
      <c r="M24" s="462">
        <f t="shared" si="13"/>
        <v>0</v>
      </c>
      <c r="N24" s="462">
        <f t="shared" si="14"/>
        <v>0</v>
      </c>
      <c r="O24" s="462">
        <f t="shared" si="15"/>
        <v>0</v>
      </c>
      <c r="P24" s="463">
        <f t="shared" si="16"/>
        <v>0</v>
      </c>
      <c r="Q24" s="461">
        <f t="shared" ca="1" si="17"/>
        <v>12049.113775007758</v>
      </c>
    </row>
    <row r="25" spans="1:17">
      <c r="A25" s="461" t="s">
        <v>685</v>
      </c>
      <c r="B25" s="462">
        <f t="shared" ca="1" si="2"/>
        <v>1926.6272304635886</v>
      </c>
      <c r="C25" s="462">
        <f t="shared" ca="1" si="3"/>
        <v>0</v>
      </c>
      <c r="D25" s="462">
        <f t="shared" si="4"/>
        <v>466.03150926410439</v>
      </c>
      <c r="E25" s="462">
        <f t="shared" si="5"/>
        <v>22.925388735296398</v>
      </c>
      <c r="F25" s="462">
        <f t="shared" si="6"/>
        <v>830.20959247449343</v>
      </c>
      <c r="G25" s="462">
        <f t="shared" si="7"/>
        <v>0</v>
      </c>
      <c r="H25" s="462">
        <f t="shared" si="8"/>
        <v>0</v>
      </c>
      <c r="I25" s="462">
        <f t="shared" si="9"/>
        <v>0</v>
      </c>
      <c r="J25" s="462">
        <f t="shared" si="10"/>
        <v>21.23958459195061</v>
      </c>
      <c r="K25" s="462">
        <f t="shared" si="11"/>
        <v>0</v>
      </c>
      <c r="L25" s="462">
        <f t="shared" si="12"/>
        <v>0</v>
      </c>
      <c r="M25" s="462">
        <f t="shared" si="13"/>
        <v>0</v>
      </c>
      <c r="N25" s="462">
        <f t="shared" si="14"/>
        <v>0</v>
      </c>
      <c r="O25" s="462">
        <f t="shared" si="15"/>
        <v>0</v>
      </c>
      <c r="P25" s="463">
        <f t="shared" si="16"/>
        <v>0</v>
      </c>
      <c r="Q25" s="461">
        <f t="shared" ca="1" si="17"/>
        <v>3267.0333055294336</v>
      </c>
    </row>
    <row r="26" spans="1:17" s="467" customFormat="1">
      <c r="A26" s="465" t="s">
        <v>579</v>
      </c>
      <c r="B26" s="823">
        <f t="shared" ca="1" si="2"/>
        <v>0.22561299377268854</v>
      </c>
      <c r="C26" s="466">
        <f t="shared" ca="1" si="3"/>
        <v>0</v>
      </c>
      <c r="D26" s="466">
        <f t="shared" si="4"/>
        <v>0.75598810158955421</v>
      </c>
      <c r="E26" s="466">
        <f t="shared" si="5"/>
        <v>49.380664068738767</v>
      </c>
      <c r="F26" s="466">
        <f t="shared" si="6"/>
        <v>0</v>
      </c>
      <c r="G26" s="466">
        <f t="shared" si="7"/>
        <v>13720.131079808792</v>
      </c>
      <c r="H26" s="466">
        <f t="shared" si="8"/>
        <v>2073.8578130863125</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15844.351158059206</v>
      </c>
    </row>
    <row r="27" spans="1:17">
      <c r="A27" s="461" t="s">
        <v>569</v>
      </c>
      <c r="B27" s="462">
        <f t="shared" ca="1" si="2"/>
        <v>0</v>
      </c>
      <c r="C27" s="462">
        <f t="shared" ca="1" si="3"/>
        <v>0</v>
      </c>
      <c r="D27" s="462">
        <f t="shared" si="4"/>
        <v>0</v>
      </c>
      <c r="E27" s="462">
        <f t="shared" si="5"/>
        <v>0</v>
      </c>
      <c r="F27" s="462">
        <f t="shared" si="6"/>
        <v>0</v>
      </c>
      <c r="G27" s="462">
        <f t="shared" si="7"/>
        <v>176.13997081998815</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176.13997081998815</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7560.034949737108</v>
      </c>
      <c r="C31" s="472">
        <f t="shared" ca="1" si="18"/>
        <v>4570.971428571429</v>
      </c>
      <c r="D31" s="472">
        <f t="shared" ca="1" si="18"/>
        <v>8082.2373603090591</v>
      </c>
      <c r="E31" s="472">
        <f t="shared" si="18"/>
        <v>804.83961810985636</v>
      </c>
      <c r="F31" s="472">
        <f t="shared" ca="1" si="18"/>
        <v>10333.273314442513</v>
      </c>
      <c r="G31" s="472">
        <f t="shared" si="18"/>
        <v>13896.27105062878</v>
      </c>
      <c r="H31" s="472">
        <f t="shared" si="18"/>
        <v>2073.8578130863125</v>
      </c>
      <c r="I31" s="472">
        <f t="shared" si="18"/>
        <v>0</v>
      </c>
      <c r="J31" s="472">
        <f t="shared" si="18"/>
        <v>920.57560017741105</v>
      </c>
      <c r="K31" s="472">
        <f t="shared" si="18"/>
        <v>0</v>
      </c>
      <c r="L31" s="472">
        <f t="shared" ca="1" si="18"/>
        <v>0</v>
      </c>
      <c r="M31" s="472">
        <f t="shared" si="18"/>
        <v>0</v>
      </c>
      <c r="N31" s="472">
        <f t="shared" ca="1" si="18"/>
        <v>0</v>
      </c>
      <c r="O31" s="472">
        <f t="shared" si="18"/>
        <v>0</v>
      </c>
      <c r="P31" s="473">
        <f t="shared" si="18"/>
        <v>0</v>
      </c>
      <c r="Q31" s="473">
        <f t="shared" ca="1" si="18"/>
        <v>48242.061135062468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0.16428252656307527</v>
      </c>
      <c r="C17" s="512">
        <f ca="1">'EF ele_warmte'!B22</f>
        <v>0.14315280853633985</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0.16428252656307527</v>
      </c>
      <c r="C17" s="512">
        <f ca="1">'EF ele_warmte'!B22</f>
        <v>0.14315280853633985</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0.16428252656307527</v>
      </c>
      <c r="C29" s="513">
        <f ca="1">'EF ele_warmte'!B22</f>
        <v>0.14315280853633985</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2018-06-27T09:19:21Z</dcterms:modified>
</cp:coreProperties>
</file>