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K79" i="14" s="1"/>
  <c r="I17" i="18"/>
  <c r="H17"/>
  <c r="I79" i="14" s="1"/>
  <c r="G17" i="18"/>
  <c r="F17"/>
  <c r="E17"/>
  <c r="D17"/>
  <c r="C17"/>
  <c r="B17"/>
  <c r="B16"/>
  <c r="B78" i="14" s="1"/>
  <c r="K11" i="18"/>
  <c r="J11"/>
  <c r="I11"/>
  <c r="H11"/>
  <c r="G11"/>
  <c r="F11"/>
  <c r="E11"/>
  <c r="D11"/>
  <c r="C11"/>
  <c r="L8"/>
  <c r="L9" s="1"/>
  <c r="K8"/>
  <c r="K9" s="1"/>
  <c r="J8"/>
  <c r="G8"/>
  <c r="G9" s="1"/>
  <c r="F8"/>
  <c r="F9" s="1"/>
  <c r="E8"/>
  <c r="F68" i="14" s="1"/>
  <c r="D8" i="18"/>
  <c r="D9" s="1"/>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G79"/>
  <c r="E79"/>
  <c r="B79"/>
  <c r="M78"/>
  <c r="L78"/>
  <c r="H78"/>
  <c r="G78"/>
  <c r="E78"/>
  <c r="L6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G19" i="18" l="1"/>
  <c r="B38" i="13"/>
  <c r="B50" s="1"/>
  <c r="E8" i="16"/>
  <c r="B97" i="18"/>
  <c r="D101" s="1"/>
  <c r="C13" i="15"/>
  <c r="D12" i="22"/>
  <c r="E17" i="14"/>
  <c r="D13" i="48"/>
  <c r="D31" i="20"/>
  <c r="E43" i="14" s="1"/>
  <c r="E12" i="22"/>
  <c r="F17" i="14"/>
  <c r="E13" i="48"/>
  <c r="H101" i="18"/>
  <c r="G101"/>
  <c r="C101"/>
  <c r="B101"/>
  <c r="C16" s="1"/>
  <c r="D78" i="14" s="1"/>
  <c r="I11" i="48"/>
  <c r="N19" i="19"/>
  <c r="O35" i="14" s="1"/>
  <c r="B6" i="48"/>
  <c r="Q6" s="1"/>
  <c r="B8" i="9"/>
  <c r="P22" i="16"/>
  <c r="Q39" i="14" s="1"/>
  <c r="P18" i="16"/>
  <c r="P8" i="48" s="1"/>
  <c r="P25" s="1"/>
  <c r="F8" i="17"/>
  <c r="F7" i="48" s="1"/>
  <c r="F24" s="1"/>
  <c r="J8" i="17"/>
  <c r="K22"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C68" s="1"/>
  <c r="G68"/>
  <c r="G69" s="1"/>
  <c r="K68"/>
  <c r="E81"/>
  <c r="M81"/>
  <c r="B19" i="18"/>
  <c r="F19"/>
  <c r="D11" i="14"/>
  <c r="C4" i="48"/>
  <c r="M8" i="18"/>
  <c r="M17"/>
  <c r="M18"/>
  <c r="D13" i="14"/>
  <c r="L8" i="17" l="1"/>
  <c r="L12" s="1"/>
  <c r="M48" i="14" s="1"/>
  <c r="L5" i="17"/>
  <c r="G22" i="14"/>
  <c r="F101" i="18"/>
  <c r="I16" s="1"/>
  <c r="L29" i="48"/>
  <c r="I101" i="18"/>
  <c r="H16" s="1"/>
  <c r="C19"/>
  <c r="E101"/>
  <c r="E16"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E19" i="14" s="1"/>
  <c r="E20" s="1"/>
  <c r="N17"/>
  <c r="M12" i="22"/>
  <c r="B36" i="13"/>
  <c r="O68" i="14"/>
  <c r="C79"/>
  <c r="L22" i="16"/>
  <c r="M39" i="14" s="1"/>
  <c r="L8" i="48"/>
  <c r="L25" s="1"/>
  <c r="M13" i="14"/>
  <c r="E8" i="17"/>
  <c r="F22" i="14" s="1"/>
  <c r="J16" i="18"/>
  <c r="F19" i="14"/>
  <c r="F20" s="1"/>
  <c r="E14" i="22"/>
  <c r="K14" i="48"/>
  <c r="B34" i="13"/>
  <c r="B46" s="1"/>
  <c r="E5" s="1"/>
  <c r="E8" s="1"/>
  <c r="E12" s="1"/>
  <c r="F37" i="14" s="1"/>
  <c r="O18" i="16"/>
  <c r="M13" i="48"/>
  <c r="M30" s="1"/>
  <c r="M51" i="22"/>
  <c r="M50" s="1"/>
  <c r="M54" s="1"/>
  <c r="M10" i="48" s="1"/>
  <c r="M27" s="1"/>
  <c r="H31" i="20"/>
  <c r="I43" i="14" s="1"/>
  <c r="H13" i="48"/>
  <c r="H30" s="1"/>
  <c r="M31" i="20"/>
  <c r="N43" i="14" s="1"/>
  <c r="G50" i="22"/>
  <c r="G54" s="1"/>
  <c r="H18" i="14" s="1"/>
  <c r="G13" i="48"/>
  <c r="G30" s="1"/>
  <c r="H17" i="14"/>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O28" i="48"/>
  <c r="H22"/>
  <c r="K31"/>
  <c r="L26"/>
  <c r="B48" i="13"/>
  <c r="C48" s="1"/>
  <c r="N5" s="1"/>
  <c r="N8" s="1"/>
  <c r="N4" i="48" s="1"/>
  <c r="N21" s="1"/>
  <c r="M29"/>
  <c r="M25"/>
  <c r="M24"/>
  <c r="I31"/>
  <c r="C50" i="13"/>
  <c r="J5" s="1"/>
  <c r="J8" s="1"/>
  <c r="E12" i="17"/>
  <c r="F48" i="14" s="1"/>
  <c r="C5" i="48"/>
  <c r="J78" i="14" l="1"/>
  <c r="J81" s="1"/>
  <c r="I19" i="18"/>
  <c r="E13" i="14"/>
  <c r="M22"/>
  <c r="J7" i="18"/>
  <c r="F78" i="14"/>
  <c r="E19" i="18"/>
  <c r="L7" i="48"/>
  <c r="L24" s="1"/>
  <c r="E7"/>
  <c r="E24" s="1"/>
  <c r="D8"/>
  <c r="D25" s="1"/>
  <c r="I78" i="14"/>
  <c r="I81" s="1"/>
  <c r="H19" i="18"/>
  <c r="R17" i="14"/>
  <c r="C14" i="48"/>
  <c r="D18" i="22"/>
  <c r="E45" i="14" s="1"/>
  <c r="E46" s="1"/>
  <c r="M14" i="22"/>
  <c r="E10" i="14"/>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O78" i="14" l="1"/>
  <c r="O81" s="1"/>
  <c r="B17" i="6" s="1"/>
  <c r="F81" i="14"/>
  <c r="N46"/>
  <c r="N5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8" i="48" l="1"/>
  <c r="Q8" s="1"/>
  <c r="Q14" s="1"/>
  <c r="N55" i="14"/>
  <c r="K13"/>
  <c r="K15" s="1"/>
  <c r="K23" s="1"/>
  <c r="F22" i="16"/>
  <c r="G39" i="14" s="1"/>
  <c r="G41" s="1"/>
  <c r="G53" s="1"/>
  <c r="G55" s="1"/>
  <c r="O69" s="1"/>
  <c r="B9" i="6" s="1"/>
  <c r="B12" s="1"/>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14" i="48" l="1"/>
  <c r="F25"/>
  <c r="F31"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<sst xmlns="http://schemas.openxmlformats.org/spreadsheetml/2006/main" count="2018" uniqueCount="877">
  <si>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</si>
  <si>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</si>
  <si>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</si>
  <si>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</si>
  <si>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</si>
  <si>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</si>
  <si>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</si>
  <si>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</si>
  <si>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</si>
  <si>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</si>
  <si>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</si>
  <si>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</si>
  <si>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</si>
  <si>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</si>
  <si>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</si>
  <si>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</si>
  <si>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</si>
  <si>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</si>
  <si>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</si>
  <si>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</si>
  <si>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</si>
  <si>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</si>
  <si>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</si>
  <si>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</si>
  <si>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</si>
  <si>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</si>
  <si>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</si>
  <si>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</si>
  <si>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</si>
  <si>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</si>
  <si>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</si>
  <si>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</si>
  <si>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</si>
  <si>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</si>
  <si>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</si>
  <si>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</si>
  <si>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</si>
  <si>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</si>
  <si>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</si>
  <si>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</si>
  <si>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</si>
  <si>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</si>
  <si>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</si>
  <si>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</si>
  <si>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</si>
  <si>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</si>
  <si>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</si>
  <si>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</si>
  <si>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</si>
  <si>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</si>
  <si>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</si>
  <si>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</si>
  <si>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</si>
  <si>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</si>
  <si>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</si>
  <si>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</si>
  <si>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</si>
  <si>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</si>
  <si>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</si>
  <si>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</si>
  <si>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</si>
  <si>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</si>
  <si>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</si>
  <si>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</si>
  <si>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</si>
  <si>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</si>
  <si>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</si>
  <si>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</si>
  <si>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</si>
  <si>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</si>
  <si>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</si>
  <si>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</si>
  <si>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</si>
  <si>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</si>
  <si>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</si>
  <si>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</si>
  <si>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</si>
  <si>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</si>
  <si>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</si>
  <si>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</si>
  <si>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</si>
  <si>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</si>
  <si>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</si>
  <si>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</si>
  <si>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</si>
  <si>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</si>
  <si>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</si>
  <si>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</si>
  <si>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</si>
  <si>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</si>
  <si>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</si>
  <si>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</si>
  <si>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</si>
  <si>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</si>
  <si>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</si>
  <si>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</si>
  <si>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</si>
  <si>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</si>
  <si>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</si>
  <si>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</si>
  <si>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</si>
  <si>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</si>
  <si>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</si>
  <si>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</si>
  <si>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</si>
  <si>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</si>
  <si>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</si>
  <si>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</si>
  <si>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</si>
  <si>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</si>
  <si>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</si>
  <si>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</si>
  <si>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</si>
  <si>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</si>
  <si>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</si>
  <si>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</si>
  <si>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</si>
  <si>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</si>
  <si>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</si>
  <si>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</si>
  <si>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</si>
  <si>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</si>
  <si>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</si>
  <si>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</si>
  <si>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</si>
  <si>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</si>
  <si>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</si>
  <si>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</si>
  <si>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</si>
  <si>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</si>
  <si>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</si>
  <si>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</si>
  <si>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</si>
  <si>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</si>
  <si>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</si>
  <si>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</si>
  <si>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</si>
  <si>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</si>
  <si>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</si>
  <si>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</si>
  <si>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</si>
  <si>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</si>
  <si>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</si>
  <si>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</si>
  <si>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</si>
  <si>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</si>
  <si>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</si>
  <si>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</si>
  <si>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</si>
  <si>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</si>
  <si>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</si>
  <si>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</si>
  <si>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</si>
  <si>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</si>
  <si>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</si>
  <si>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</si>
  <si>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</si>
  <si>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</si>
  <si>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</si>
  <si>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</si>
  <si>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</si>
  <si>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</si>
  <si>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</si>
  <si>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</si>
  <si>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</si>
  <si>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</si>
  <si>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</si>
  <si>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</si>
  <si>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</si>
  <si>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</si>
  <si>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</si>
  <si>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</si>
  <si>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</si>
  <si>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</si>
  <si>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</si>
  <si>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</si>
  <si>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</si>
  <si>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</si>
  <si>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</si>
  <si>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</si>
  <si>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</si>
  <si>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</si>
  <si>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</si>
  <si>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</si>
  <si>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</si>
  <si>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</si>
  <si>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</si>
  <si>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</si>
  <si>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</si>
  <si>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</si>
  <si>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</si>
  <si>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</si>
  <si>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</si>
  <si>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</si>
  <si>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</si>
  <si>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</si>
  <si>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</si>
  <si>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</si>
  <si>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</si>
  <si>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</si>
  <si>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</si>
  <si>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</si>
  <si>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</si>
  <si>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</si>
  <si>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</si>
  <si>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</si>
  <si>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</si>
  <si>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</si>
  <si>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</si>
  <si>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</si>
  <si>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</si>
  <si>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</si>
  <si>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</si>
  <si>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</si>
  <si>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</si>
  <si>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</si>
  <si>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</si>
  <si>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</si>
  <si>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</si>
  <si>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</si>
  <si>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</si>
  <si>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</si>
  <si>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</si>
  <si>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</si>
  <si>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</si>
  <si>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</si>
  <si>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</si>
  <si>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</si>
  <si>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</si>
  <si>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</si>
  <si>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</si>
  <si>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</si>
  <si>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</si>
  <si>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</si>
  <si>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</si>
  <si>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</si>
  <si>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</si>
  <si>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</si>
  <si>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</si>
  <si>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</si>
  <si>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</si>
  <si>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</si>
  <si>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</si>
  <si>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</si>
  <si>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</si>
  <si>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</si>
  <si>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</si>
  <si>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</si>
  <si>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</si>
  <si>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</si>
  <si>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</si>
  <si>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</si>
  <si>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</si>
  <si>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</si>
  <si>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</si>
  <si>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</si>
  <si>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</si>
  <si>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</si>
  <si>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</si>
  <si>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</si>
  <si>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</si>
  <si>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</si>
  <si>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</si>
  <si>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</si>
  <si>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</si>
  <si>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</si>
  <si>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</si>
  <si>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</si>
  <si>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</si>
  <si>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</si>
  <si>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</si>
  <si>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</si>
  <si>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</si>
  <si>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</si>
  <si>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</si>
  <si>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</si>
  <si>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</si>
  <si>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</si>
  <si>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</si>
  <si>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</si>
  <si>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</si>
  <si>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</si>
  <si>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</si>
  <si>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</si>
  <si>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</si>
  <si>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</si>
  <si>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</si>
  <si>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</si>
  <si>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</si>
  <si>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</si>
  <si>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</si>
  <si>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</si>
  <si>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</si>
  <si>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</si>
  <si>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</si>
  <si>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</si>
  <si>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</si>
  <si>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</si>
  <si>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</si>
  <si>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</si>
  <si>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</si>
  <si>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</si>
  <si>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</si>
  <si>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</si>
  <si>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</si>
  <si>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</si>
  <si>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</si>
  <si>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</si>
  <si>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</si>
  <si>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</si>
  <si>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</si>
  <si>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</si>
  <si>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</si>
  <si>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</si>
  <si>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</si>
  <si>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</si>
  <si>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</si>
  <si>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</si>
  <si>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</si>
  <si>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</si>
  <si>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</si>
  <si>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</si>
  <si>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</si>
  <si>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</si>
  <si>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</si>
  <si>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</si>
  <si>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</si>
  <si>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</si>
  <si>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</si>
  <si>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</si>
  <si>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</si>
  <si>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</si>
  <si>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</si>
  <si>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</si>
  <si>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</si>
  <si>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</si>
  <si>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</si>
  <si>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</si>
  <si>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</si>
  <si>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</si>
  <si>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</si>
  <si>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</si>
  <si>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</si>
  <si>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</si>
  <si>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</si>
  <si>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</si>
  <si>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</si>
  <si>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</si>
  <si>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</si>
  <si>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</si>
  <si>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</si>
  <si>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</si>
  <si>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</si>
  <si>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</si>
  <si>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</si>
  <si>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</si>
  <si>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</si>
  <si>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</si>
  <si>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</si>
  <si>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</si>
  <si>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</si>
  <si>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</si>
  <si>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</si>
  <si>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</si>
  <si>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</si>
  <si>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</si>
  <si>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</si>
  <si>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</si>
  <si>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</si>
  <si>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</si>
  <si>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</si>
  <si>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</si>
  <si>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</si>
  <si>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</si>
  <si>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</si>
  <si>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</si>
  <si>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</si>
  <si>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</si>
  <si>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</si>
  <si>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</si>
  <si>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</si>
  <si>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</si>
  <si>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</si>
  <si>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</si>
  <si>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</si>
  <si>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</si>
  <si>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</si>
  <si>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</si>
  <si>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</si>
  <si>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</si>
  <si>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</si>
  <si>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</si>
  <si>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</si>
  <si>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</si>
  <si>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</si>
  <si>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</si>
  <si>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</si>
  <si>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</si>
  <si>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</si>
  <si>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</si>
  <si>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</si>
  <si>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</si>
  <si>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</si>
  <si>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</si>
  <si>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</si>
  <si>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</si>
  <si>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</si>
  <si>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</si>
  <si>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</si>
  <si>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</si>
  <si>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</si>
  <si>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</si>
  <si>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</si>
  <si>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</si>
  <si>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</si>
  <si>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</si>
  <si>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</si>
  <si>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</si>
  <si>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</si>
  <si>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</si>
  <si>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</si>
  <si>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</si>
  <si>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</si>
  <si>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</si>
  <si>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</si>
  <si>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</si>
  <si>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</si>
  <si>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</si>
  <si>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</si>
  <si>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</si>
  <si>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</si>
  <si>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</si>
  <si>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</si>
  <si>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</si>
  <si>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</si>
  <si>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</si>
  <si>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</si>
  <si>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</si>
  <si>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</si>
  <si>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</si>
  <si>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</si>
  <si>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</si>
  <si>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</si>
  <si>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</si>
  <si>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</si>
  <si>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</si>
  <si>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</si>
  <si>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</si>
  <si>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</si>
  <si>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</si>
  <si>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</si>
  <si>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</si>
  <si>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</si>
  <si>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</si>
  <si>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</si>
  <si>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</si>
  <si>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</si>
  <si>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</si>
  <si>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</si>
  <si>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</si>
  <si>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</si>
  <si>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</si>
  <si>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</si>
  <si>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</si>
  <si>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</si>
  <si>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</si>
  <si>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</si>
  <si>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</si>
  <si>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</si>
  <si>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</si>
  <si>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</si>
  <si>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</si>
  <si>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</si>
  <si>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</si>
  <si>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</si>
  <si>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</si>
  <si>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</si>
  <si>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</si>
  <si>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</si>
  <si>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</si>
  <si>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</si>
  <si>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</si>
  <si>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</si>
  <si>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</si>
  <si>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</si>
  <si>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</si>
  <si>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</si>
  <si>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</si>
  <si>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</si>
  <si>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</si>
  <si>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</si>
  <si>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</si>
  <si>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</si>
  <si>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</si>
  <si>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</si>
  <si>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</si>
  <si>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</si>
  <si>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</si>
  <si>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</si>
  <si>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</si>
  <si>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</si>
  <si>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</si>
  <si>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</si>
  <si>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</si>
  <si>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</si>
  <si>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</si>
  <si>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</si>
  <si>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</si>
  <si>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</si>
  <si>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</si>
  <si>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</si>
  <si>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</si>
  <si>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</si>
  <si>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</si>
  <si>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</si>
  <si>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</si>
  <si>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</si>
  <si>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</si>
  <si>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</si>
  <si>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</si>
  <si>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</si>
  <si>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</si>
  <si>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</si>
  <si>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</si>
  <si>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</si>
  <si>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</si>
  <si>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</si>
  <si>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</si>
  <si>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</si>
  <si>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</si>
  <si>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</si>
  <si>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</si>
  <si>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</si>
  <si>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</si>
  <si>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</si>
  <si>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</si>
  <si>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</si>
  <si>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</si>
  <si>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</si>
  <si>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</si>
  <si>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</si>
  <si>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</si>
  <si>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</si>
  <si>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</si>
  <si>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</si>
  <si>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</si>
  <si>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</si>
  <si>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</si>
  <si>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</si>
  <si>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</si>
  <si>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</si>
  <si>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</si>
  <si>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</si>
  <si>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</si>
  <si>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</si>
  <si>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</si>
  <si>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</si>
  <si>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</si>
  <si>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</si>
  <si>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</si>
  <si>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</si>
  <si>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</si>
  <si>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</si>
  <si>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</si>
  <si>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</si>
  <si>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</si>
  <si>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</si>
  <si>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</si>
  <si>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</si>
  <si>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</si>
  <si>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</si>
  <si>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</si>
  <si>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</si>
  <si>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</si>
  <si>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</si>
  <si>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</si>
  <si>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</si>
  <si>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</si>
  <si>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</si>
  <si>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</si>
  <si>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</si>
  <si>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</si>
  <si>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</si>
  <si>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</si>
  <si>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</si>
  <si>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</si>
  <si>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</si>
  <si>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</si>
  <si>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</si>
  <si>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</si>
  <si>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</si>
  <si>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</si>
  <si>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</si>
  <si>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</si>
  <si>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</si>
  <si>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</si>
  <si>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</si>
  <si>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</si>
  <si>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</si>
  <si>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</si>
  <si>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</si>
  <si>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</si>
  <si>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</si>
  <si>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</si>
  <si>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</si>
  <si>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</si>
  <si>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</si>
  <si>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</si>
  <si>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</si>
  <si>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</si>
  <si>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</si>
  <si>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</si>
  <si>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</si>
  <si>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</si>
  <si>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</si>
  <si>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</si>
  <si>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</si>
  <si>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</si>
  <si>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</si>
  <si>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</si>
  <si>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</si>
  <si>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</si>
  <si>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</si>
  <si>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</si>
  <si>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</si>
  <si>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</si>
  <si>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</si>
  <si>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</si>
  <si>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</si>
  <si>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</si>
  <si>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</si>
  <si>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</si>
  <si>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</si>
  <si>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</si>
  <si>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</si>
  <si>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</si>
  <si>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</si>
  <si>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</si>
  <si>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</si>
  <si>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</si>
  <si>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</si>
  <si>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</si>
  <si>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</si>
  <si>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</si>
  <si>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</si>
  <si>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</si>
  <si>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</si>
  <si>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</si>
  <si>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</si>
  <si>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</si>
  <si>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</si>
  <si>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</si>
  <si>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</si>
  <si>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</si>
  <si>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</si>
  <si>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</si>
  <si>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</si>
  <si>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</si>
  <si>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</si>
  <si>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</si>
  <si>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</si>
  <si>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</si>
  <si>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</si>
  <si>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</si>
  <si>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</si>
  <si>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</si>
  <si>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</si>
  <si>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</si>
  <si>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</si>
  <si>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</si>
  <si>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</si>
  <si>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</si>
  <si>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</si>
  <si>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</si>
  <si>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</si>
  <si>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</si>
  <si>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</si>
  <si>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</si>
  <si>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</si>
  <si>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</si>
  <si>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</si>
  <si>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</si>
  <si>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</si>
  <si>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</si>
  <si>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</si>
  <si>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</si>
  <si>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</si>
  <si>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</si>
  <si>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</si>
  <si>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</si>
  <si>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</si>
  <si>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</si>
  <si>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</si>
  <si>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</si>
  <si>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</si>
  <si>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</si>
  <si>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</si>
  <si>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</si>
  <si>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</si>
  <si>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</si>
  <si>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</si>
  <si>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</si>
  <si>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</si>
  <si>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</si>
  <si>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</si>
  <si>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</si>
  <si>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</si>
  <si>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</si>
  <si>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</si>
  <si>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</si>
  <si>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</si>
  <si>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</si>
  <si>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</si>
  <si>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</si>
  <si>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</si>
  <si>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</si>
  <si>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</si>
  <si>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</si>
  <si>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</si>
  <si>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</si>
  <si>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</si>
  <si>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</si>
  <si>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</si>
  <si>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</si>
  <si>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</si>
  <si>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</si>
  <si>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</si>
  <si>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</si>
  <si>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</si>
  <si>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</si>
  <si>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</si>
  <si>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</si>
  <si>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</si>
  <si>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</si>
  <si>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</si>
  <si>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</si>
  <si>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</si>
  <si>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</si>
  <si>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</si>
  <si>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</si>
  <si>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</si>
  <si>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</si>
  <si>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</si>
  <si>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</si>
  <si>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</si>
  <si>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</si>
  <si>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</si>
  <si>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</si>
  <si>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</si>
  <si>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</si>
  <si>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</si>
  <si>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</si>
  <si>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</si>
  <si>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</si>
  <si>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</si>
  <si>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</si>
  <si>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</si>
  <si>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</si>
  <si>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</si>
  <si>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</si>
  <si>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</si>
  <si>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</si>
  <si>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</si>
  <si>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</si>
  <si>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</si>
  <si>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</si>
  <si>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</si>
  <si>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</si>
  <si>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</si>
  <si>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</si>
  <si>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</si>
  <si>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</si>
  <si>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</si>
  <si>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</si>
  <si>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</si>
  <si>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</si>
  <si>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</si>
  <si>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</si>
  <si>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</si>
  <si>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</si>
  <si>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</si>
  <si>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</si>
  <si>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</si>
  <si>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</si>
  <si>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</si>
  <si>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</si>
  <si>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</si>
  <si>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</si>
  <si>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</si>
  <si>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</si>
  <si>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</si>
  <si>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</si>
  <si>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</si>
  <si>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</si>
  <si>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</si>
  <si>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</si>
  <si>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</si>
  <si>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</si>
  <si>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</si>
  <si>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</si>
  <si>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</si>
  <si>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</si>
  <si>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</si>
  <si>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</si>
  <si>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</si>
  <si>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</si>
  <si>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</si>
  <si>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</si>
  <si>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</si>
  <si>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</si>
  <si>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</si>
  <si>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</si>
  <si>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</si>
  <si>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</si>
  <si>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</si>
  <si>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</si>
  <si>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</si>
  <si>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</si>
  <si>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</si>
  <si>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</si>
  <si>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</si>
  <si>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</si>
  <si>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</si>
  <si>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</si>
  <si>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</si>
  <si>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</si>
  <si>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</si>
  <si>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</si>
  <si>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</si>
  <si>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</si>
  <si>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</si>
  <si>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</si>
  <si>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</si>
  <si>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</si>
  <si>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</si>
  <si>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</si>
  <si>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</si>
  <si>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</si>
  <si>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</si>
  <si>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</si>
  <si>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</si>
  <si>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</si>
  <si>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</si>
  <si>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</si>
  <si>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</si>
  <si>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</si>
  <si>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</si>
  <si>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</si>
  <si>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</si>
  <si>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</si>
  <si>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</si>
  <si>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</si>
  <si>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</si>
  <si>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</si>
  <si>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</si>
  <si>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</si>
  <si>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</si>
  <si>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</si>
  <si>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</si>
  <si>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</si>
  <si>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</si>
  <si>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</si>
  <si>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</si>
  <si>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</si>
  <si>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</si>
  <si>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</si>
  <si>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</si>
  <si>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</si>
  <si>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</si>
  <si>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</si>
  <si>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</si>
  <si>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36008</t>
  </si>
  <si>
    <t>IZEGEM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</si>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</sst>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36008</v>
      </c>
      <c r="B6" s="397"/>
      <c r="C6" s="398"/>
    </row>
    <row r="7" spans="1:7" s="395" customFormat="1" ht="15.75" customHeight="1">
      <c r="A7" s="399" t="str">
        <f>txtMunicipality</f>
        <v>IZEGEM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11771</v>
      </c>
      <c r="C9" s="338">
        <v>12171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904</v>
      </c>
    </row>
    <row r="15" spans="1:6">
      <c r="A15" s="1205" t="s">
        <v>184</v>
      </c>
      <c r="B15" s="335">
        <v>4</v>
      </c>
    </row>
    <row r="16" spans="1:6">
      <c r="A16" s="1205" t="s">
        <v>6</v>
      </c>
      <c r="B16" s="335">
        <v>85</v>
      </c>
    </row>
    <row r="17" spans="1:6">
      <c r="A17" s="1205" t="s">
        <v>7</v>
      </c>
      <c r="B17" s="335">
        <v>186</v>
      </c>
    </row>
    <row r="18" spans="1:6">
      <c r="A18" s="1205" t="s">
        <v>8</v>
      </c>
      <c r="B18" s="335">
        <v>224</v>
      </c>
    </row>
    <row r="19" spans="1:6">
      <c r="A19" s="1205" t="s">
        <v>9</v>
      </c>
      <c r="B19" s="335">
        <v>163</v>
      </c>
    </row>
    <row r="20" spans="1:6">
      <c r="A20" s="1205" t="s">
        <v>10</v>
      </c>
      <c r="B20" s="335">
        <v>126</v>
      </c>
    </row>
    <row r="21" spans="1:6">
      <c r="A21" s="1205" t="s">
        <v>11</v>
      </c>
      <c r="B21" s="335">
        <v>3419</v>
      </c>
    </row>
    <row r="22" spans="1:6">
      <c r="A22" s="1205" t="s">
        <v>12</v>
      </c>
      <c r="B22" s="335">
        <v>16071</v>
      </c>
    </row>
    <row r="23" spans="1:6">
      <c r="A23" s="1205" t="s">
        <v>13</v>
      </c>
      <c r="B23" s="335">
        <v>101</v>
      </c>
    </row>
    <row r="24" spans="1:6">
      <c r="A24" s="1205" t="s">
        <v>14</v>
      </c>
      <c r="B24" s="335">
        <v>4</v>
      </c>
    </row>
    <row r="25" spans="1:6">
      <c r="A25" s="1205" t="s">
        <v>15</v>
      </c>
      <c r="B25" s="335">
        <v>718</v>
      </c>
    </row>
    <row r="26" spans="1:6">
      <c r="A26" s="1205" t="s">
        <v>16</v>
      </c>
      <c r="B26" s="335">
        <v>100</v>
      </c>
    </row>
    <row r="27" spans="1:6">
      <c r="A27" s="1205" t="s">
        <v>17</v>
      </c>
      <c r="B27" s="335">
        <v>5</v>
      </c>
    </row>
    <row r="28" spans="1:6" s="341" customFormat="1">
      <c r="A28" s="1206" t="s">
        <v>18</v>
      </c>
      <c r="B28" s="1206">
        <v>57724</v>
      </c>
    </row>
    <row r="29" spans="1:6">
      <c r="A29" s="1206" t="s">
        <v>873</v>
      </c>
      <c r="B29" s="1206">
        <v>56</v>
      </c>
      <c r="C29" s="341"/>
      <c r="D29" s="341"/>
      <c r="E29" s="341"/>
      <c r="F29" s="341"/>
    </row>
    <row r="30" spans="1:6">
      <c r="A30" s="1201" t="s">
        <v>874</v>
      </c>
      <c r="B30" s="1201">
        <v>21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14</v>
      </c>
      <c r="F36" s="335">
        <v>302408</v>
      </c>
    </row>
    <row r="37" spans="1:6">
      <c r="A37" s="1205" t="s">
        <v>25</v>
      </c>
      <c r="B37" s="1205" t="s">
        <v>28</v>
      </c>
      <c r="C37" s="335">
        <v>0</v>
      </c>
      <c r="D37" s="335">
        <v>0</v>
      </c>
      <c r="E37" s="335">
        <v>0</v>
      </c>
      <c r="F37" s="335">
        <v>0</v>
      </c>
    </row>
    <row r="38" spans="1:6">
      <c r="A38" s="1205" t="s">
        <v>25</v>
      </c>
      <c r="B38" s="1205" t="s">
        <v>29</v>
      </c>
      <c r="C38" s="335">
        <v>1</v>
      </c>
      <c r="D38" s="335">
        <v>3865.307749347</v>
      </c>
      <c r="E38" s="335">
        <v>0</v>
      </c>
      <c r="F38" s="335">
        <v>0</v>
      </c>
    </row>
    <row r="39" spans="1:6">
      <c r="A39" s="1205" t="s">
        <v>30</v>
      </c>
      <c r="B39" s="1205" t="s">
        <v>31</v>
      </c>
      <c r="C39" s="335">
        <v>8867</v>
      </c>
      <c r="D39" s="335">
        <v>149699118.75859401</v>
      </c>
      <c r="E39" s="335">
        <v>11681</v>
      </c>
      <c r="F39" s="335">
        <v>41773867</v>
      </c>
    </row>
    <row r="40" spans="1:6">
      <c r="A40" s="1205" t="s">
        <v>30</v>
      </c>
      <c r="B40" s="1205" t="s">
        <v>29</v>
      </c>
      <c r="C40" s="335">
        <v>0</v>
      </c>
      <c r="D40" s="335">
        <v>0</v>
      </c>
      <c r="E40" s="335">
        <v>0</v>
      </c>
      <c r="F40" s="335">
        <v>0</v>
      </c>
    </row>
    <row r="41" spans="1:6">
      <c r="A41" s="1205" t="s">
        <v>32</v>
      </c>
      <c r="B41" s="1205" t="s">
        <v>33</v>
      </c>
      <c r="C41" s="335">
        <v>178</v>
      </c>
      <c r="D41" s="335">
        <v>11192846.1399228</v>
      </c>
      <c r="E41" s="335">
        <v>375</v>
      </c>
      <c r="F41" s="335">
        <v>17037207</v>
      </c>
    </row>
    <row r="42" spans="1:6">
      <c r="A42" s="1205" t="s">
        <v>32</v>
      </c>
      <c r="B42" s="1205" t="s">
        <v>34</v>
      </c>
      <c r="C42" s="335">
        <v>0</v>
      </c>
      <c r="D42" s="335">
        <v>0</v>
      </c>
      <c r="E42" s="335">
        <v>4</v>
      </c>
      <c r="F42" s="335">
        <v>426108</v>
      </c>
    </row>
    <row r="43" spans="1:6">
      <c r="A43" s="1205" t="s">
        <v>32</v>
      </c>
      <c r="B43" s="1205" t="s">
        <v>35</v>
      </c>
      <c r="C43" s="335">
        <v>0</v>
      </c>
      <c r="D43" s="335">
        <v>0</v>
      </c>
      <c r="E43" s="335">
        <v>7</v>
      </c>
      <c r="F43" s="335">
        <v>311209</v>
      </c>
    </row>
    <row r="44" spans="1:6">
      <c r="A44" s="1205" t="s">
        <v>32</v>
      </c>
      <c r="B44" s="1205" t="s">
        <v>36</v>
      </c>
      <c r="C44" s="335">
        <v>14</v>
      </c>
      <c r="D44" s="335">
        <v>580917.52789899998</v>
      </c>
      <c r="E44" s="335">
        <v>76</v>
      </c>
      <c r="F44" s="335">
        <v>15517539</v>
      </c>
    </row>
    <row r="45" spans="1:6">
      <c r="A45" s="1205" t="s">
        <v>32</v>
      </c>
      <c r="B45" s="1205" t="s">
        <v>37</v>
      </c>
      <c r="C45" s="335">
        <v>0</v>
      </c>
      <c r="D45" s="335">
        <v>0</v>
      </c>
      <c r="E45" s="335">
        <v>8</v>
      </c>
      <c r="F45" s="335">
        <v>514956</v>
      </c>
    </row>
    <row r="46" spans="1:6">
      <c r="A46" s="1205" t="s">
        <v>32</v>
      </c>
      <c r="B46" s="1205" t="s">
        <v>38</v>
      </c>
      <c r="C46" s="335">
        <v>0</v>
      </c>
      <c r="D46" s="335">
        <v>0</v>
      </c>
      <c r="E46" s="335">
        <v>0</v>
      </c>
      <c r="F46" s="335">
        <v>0</v>
      </c>
    </row>
    <row r="47" spans="1:6">
      <c r="A47" s="1205" t="s">
        <v>32</v>
      </c>
      <c r="B47" s="1205" t="s">
        <v>39</v>
      </c>
      <c r="C47" s="335">
        <v>9</v>
      </c>
      <c r="D47" s="335">
        <v>816677.48395213298</v>
      </c>
      <c r="E47" s="335">
        <v>11</v>
      </c>
      <c r="F47" s="335">
        <v>1365602</v>
      </c>
    </row>
    <row r="48" spans="1:6">
      <c r="A48" s="1205" t="s">
        <v>32</v>
      </c>
      <c r="B48" s="1205" t="s">
        <v>29</v>
      </c>
      <c r="C48" s="335">
        <v>60</v>
      </c>
      <c r="D48" s="335">
        <v>49512032.969643898</v>
      </c>
      <c r="E48" s="335">
        <v>0</v>
      </c>
      <c r="F48" s="335">
        <v>0</v>
      </c>
    </row>
    <row r="49" spans="1:6">
      <c r="A49" s="1205" t="s">
        <v>32</v>
      </c>
      <c r="B49" s="1205" t="s">
        <v>40</v>
      </c>
      <c r="C49" s="335">
        <v>0</v>
      </c>
      <c r="D49" s="335">
        <v>0</v>
      </c>
      <c r="E49" s="335">
        <v>20</v>
      </c>
      <c r="F49" s="335">
        <v>4785197</v>
      </c>
    </row>
    <row r="50" spans="1:6">
      <c r="A50" s="1205" t="s">
        <v>32</v>
      </c>
      <c r="B50" s="1205" t="s">
        <v>41</v>
      </c>
      <c r="C50" s="335">
        <v>18</v>
      </c>
      <c r="D50" s="335">
        <v>2568687.4724552701</v>
      </c>
      <c r="E50" s="335">
        <v>45</v>
      </c>
      <c r="F50" s="335">
        <v>40034187</v>
      </c>
    </row>
    <row r="51" spans="1:6">
      <c r="A51" s="1205" t="s">
        <v>42</v>
      </c>
      <c r="B51" s="1205" t="s">
        <v>43</v>
      </c>
      <c r="C51" s="335">
        <v>12</v>
      </c>
      <c r="D51" s="335">
        <v>7329006.0565076703</v>
      </c>
      <c r="E51" s="335">
        <v>83</v>
      </c>
      <c r="F51" s="335">
        <v>1872456</v>
      </c>
    </row>
    <row r="52" spans="1:6">
      <c r="A52" s="1205" t="s">
        <v>42</v>
      </c>
      <c r="B52" s="1205" t="s">
        <v>29</v>
      </c>
      <c r="C52" s="335">
        <v>3</v>
      </c>
      <c r="D52" s="335">
        <v>82695.584573388696</v>
      </c>
      <c r="E52" s="335">
        <v>0</v>
      </c>
      <c r="F52" s="335">
        <v>0</v>
      </c>
    </row>
    <row r="53" spans="1:6">
      <c r="A53" s="1205" t="s">
        <v>44</v>
      </c>
      <c r="B53" s="1205" t="s">
        <v>45</v>
      </c>
      <c r="C53" s="335">
        <v>264</v>
      </c>
      <c r="D53" s="335">
        <v>6499656.1055095103</v>
      </c>
      <c r="E53" s="335">
        <v>0</v>
      </c>
      <c r="F53" s="335">
        <v>0</v>
      </c>
    </row>
    <row r="54" spans="1:6">
      <c r="A54" s="1205" t="s">
        <v>46</v>
      </c>
      <c r="B54" s="1205" t="s">
        <v>47</v>
      </c>
      <c r="C54" s="335">
        <v>0</v>
      </c>
      <c r="D54" s="335">
        <v>0</v>
      </c>
      <c r="E54" s="335">
        <v>165</v>
      </c>
      <c r="F54" s="335">
        <v>2312586</v>
      </c>
    </row>
    <row r="55" spans="1:6">
      <c r="A55" s="1205" t="s">
        <v>46</v>
      </c>
      <c r="B55" s="1205" t="s">
        <v>29</v>
      </c>
      <c r="C55" s="335">
        <v>0</v>
      </c>
      <c r="D55" s="335">
        <v>0</v>
      </c>
      <c r="E55" s="335">
        <v>0</v>
      </c>
      <c r="F55" s="335">
        <v>0</v>
      </c>
    </row>
    <row r="56" spans="1:6">
      <c r="A56" s="1205" t="s">
        <v>48</v>
      </c>
      <c r="B56" s="1205" t="s">
        <v>29</v>
      </c>
      <c r="C56" s="335">
        <v>0</v>
      </c>
      <c r="D56" s="335">
        <v>0</v>
      </c>
      <c r="E56" s="335">
        <v>181</v>
      </c>
      <c r="F56" s="335">
        <v>948786</v>
      </c>
    </row>
    <row r="57" spans="1:6">
      <c r="A57" s="1205" t="s">
        <v>49</v>
      </c>
      <c r="B57" s="1205" t="s">
        <v>50</v>
      </c>
      <c r="C57" s="335">
        <v>73</v>
      </c>
      <c r="D57" s="335">
        <v>3787074.0390356602</v>
      </c>
      <c r="E57" s="335">
        <v>129</v>
      </c>
      <c r="F57" s="335">
        <v>2302709</v>
      </c>
    </row>
    <row r="58" spans="1:6">
      <c r="A58" s="1205" t="s">
        <v>49</v>
      </c>
      <c r="B58" s="1205" t="s">
        <v>51</v>
      </c>
      <c r="C58" s="335">
        <v>42</v>
      </c>
      <c r="D58" s="335">
        <v>7884532.2230346901</v>
      </c>
      <c r="E58" s="335">
        <v>60</v>
      </c>
      <c r="F58" s="335">
        <v>4567535</v>
      </c>
    </row>
    <row r="59" spans="1:6">
      <c r="A59" s="1205" t="s">
        <v>49</v>
      </c>
      <c r="B59" s="1205" t="s">
        <v>52</v>
      </c>
      <c r="C59" s="335">
        <v>188</v>
      </c>
      <c r="D59" s="335">
        <v>7480396.9600933297</v>
      </c>
      <c r="E59" s="335">
        <v>442</v>
      </c>
      <c r="F59" s="335">
        <v>15721588</v>
      </c>
    </row>
    <row r="60" spans="1:6">
      <c r="A60" s="1205" t="s">
        <v>49</v>
      </c>
      <c r="B60" s="1205" t="s">
        <v>53</v>
      </c>
      <c r="C60" s="335">
        <v>95</v>
      </c>
      <c r="D60" s="335">
        <v>4120438.5454207002</v>
      </c>
      <c r="E60" s="335">
        <v>108</v>
      </c>
      <c r="F60" s="335">
        <v>2662345</v>
      </c>
    </row>
    <row r="61" spans="1:6">
      <c r="A61" s="1205" t="s">
        <v>49</v>
      </c>
      <c r="B61" s="1205" t="s">
        <v>54</v>
      </c>
      <c r="C61" s="335">
        <v>235</v>
      </c>
      <c r="D61" s="335">
        <v>11788800.4051478</v>
      </c>
      <c r="E61" s="335">
        <v>482</v>
      </c>
      <c r="F61" s="335">
        <v>6649094</v>
      </c>
    </row>
    <row r="62" spans="1:6">
      <c r="A62" s="1205" t="s">
        <v>49</v>
      </c>
      <c r="B62" s="1205" t="s">
        <v>55</v>
      </c>
      <c r="C62" s="335">
        <v>21</v>
      </c>
      <c r="D62" s="335">
        <v>4405105.2915197304</v>
      </c>
      <c r="E62" s="335">
        <v>23</v>
      </c>
      <c r="F62" s="335">
        <v>1015526</v>
      </c>
    </row>
    <row r="63" spans="1:6">
      <c r="A63" s="1205" t="s">
        <v>49</v>
      </c>
      <c r="B63" s="1205" t="s">
        <v>29</v>
      </c>
      <c r="C63" s="335">
        <v>78</v>
      </c>
      <c r="D63" s="335">
        <v>4444806.9405135596</v>
      </c>
      <c r="E63" s="335">
        <v>0</v>
      </c>
      <c r="F63" s="335">
        <v>0</v>
      </c>
    </row>
    <row r="64" spans="1:6">
      <c r="A64" s="1205" t="s">
        <v>56</v>
      </c>
      <c r="B64" s="1205" t="s">
        <v>57</v>
      </c>
      <c r="C64" s="335">
        <v>0</v>
      </c>
      <c r="D64" s="335">
        <v>0</v>
      </c>
      <c r="E64" s="335">
        <v>0</v>
      </c>
      <c r="F64" s="335">
        <v>0</v>
      </c>
    </row>
    <row r="65" spans="1:6">
      <c r="A65" s="1205" t="s">
        <v>56</v>
      </c>
      <c r="B65" s="1205" t="s">
        <v>29</v>
      </c>
      <c r="C65" s="335">
        <v>5</v>
      </c>
      <c r="D65" s="335">
        <v>144513.42569567799</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8</v>
      </c>
      <c r="F67" s="335">
        <v>471835</v>
      </c>
    </row>
    <row r="68" spans="1:6">
      <c r="A68" s="1201" t="s">
        <v>56</v>
      </c>
      <c r="B68" s="1201" t="s">
        <v>60</v>
      </c>
      <c r="C68" s="335">
        <v>11</v>
      </c>
      <c r="D68" s="335">
        <v>1026722.59369606</v>
      </c>
      <c r="E68" s="335">
        <v>28</v>
      </c>
      <c r="F68" s="335">
        <v>1213739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49671522</v>
      </c>
      <c r="E73" s="335">
        <v>47826191.951063886</v>
      </c>
    </row>
    <row r="74" spans="1:6">
      <c r="A74" s="1205" t="s">
        <v>64</v>
      </c>
      <c r="B74" s="1205" t="s">
        <v>772</v>
      </c>
      <c r="C74" s="1216" t="s">
        <v>766</v>
      </c>
      <c r="D74" s="335">
        <v>6731842.523145997</v>
      </c>
      <c r="E74" s="335">
        <v>6593472.5585257467</v>
      </c>
    </row>
    <row r="75" spans="1:6">
      <c r="A75" s="1205" t="s">
        <v>65</v>
      </c>
      <c r="B75" s="1205" t="s">
        <v>771</v>
      </c>
      <c r="C75" s="1216" t="s">
        <v>767</v>
      </c>
      <c r="D75" s="335">
        <v>45365389</v>
      </c>
      <c r="E75" s="335">
        <v>43244483.073238611</v>
      </c>
    </row>
    <row r="76" spans="1:6">
      <c r="A76" s="1205" t="s">
        <v>65</v>
      </c>
      <c r="B76" s="1205" t="s">
        <v>772</v>
      </c>
      <c r="C76" s="1216" t="s">
        <v>768</v>
      </c>
      <c r="D76" s="335">
        <v>3925012.523145997</v>
      </c>
      <c r="E76" s="335">
        <v>3803606.0859741108</v>
      </c>
    </row>
    <row r="77" spans="1:6">
      <c r="A77" s="1205" t="s">
        <v>66</v>
      </c>
      <c r="B77" s="1205" t="s">
        <v>771</v>
      </c>
      <c r="C77" s="1216" t="s">
        <v>769</v>
      </c>
      <c r="D77" s="335">
        <v>41061856</v>
      </c>
      <c r="E77" s="335">
        <v>47373994.179091685</v>
      </c>
    </row>
    <row r="78" spans="1:6">
      <c r="A78" s="1201" t="s">
        <v>66</v>
      </c>
      <c r="B78" s="1201" t="s">
        <v>772</v>
      </c>
      <c r="C78" s="1201" t="s">
        <v>770</v>
      </c>
      <c r="D78" s="1201">
        <v>7477489</v>
      </c>
      <c r="E78" s="1201">
        <v>7890059.5638286248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192640.9537080063</v>
      </c>
      <c r="C83" s="335">
        <v>181823.84362397899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20858.891829308628</v>
      </c>
    </row>
    <row r="91" spans="1:6">
      <c r="A91" s="1205" t="s">
        <v>68</v>
      </c>
      <c r="B91" s="335">
        <v>3808.6692164312003</v>
      </c>
    </row>
    <row r="92" spans="1:6">
      <c r="A92" s="1201" t="s">
        <v>69</v>
      </c>
      <c r="B92" s="338">
        <v>2167.6740367506004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6493</v>
      </c>
    </row>
    <row r="98" spans="1:6">
      <c r="A98" s="1205" t="s">
        <v>72</v>
      </c>
      <c r="B98" s="335">
        <v>1</v>
      </c>
    </row>
    <row r="99" spans="1:6">
      <c r="A99" s="1205" t="s">
        <v>73</v>
      </c>
      <c r="B99" s="335">
        <v>111</v>
      </c>
    </row>
    <row r="100" spans="1:6">
      <c r="A100" s="1205" t="s">
        <v>74</v>
      </c>
      <c r="B100" s="335">
        <v>642</v>
      </c>
    </row>
    <row r="101" spans="1:6">
      <c r="A101" s="1205" t="s">
        <v>75</v>
      </c>
      <c r="B101" s="335">
        <v>159</v>
      </c>
    </row>
    <row r="102" spans="1:6">
      <c r="A102" s="1205" t="s">
        <v>76</v>
      </c>
      <c r="B102" s="335">
        <v>177</v>
      </c>
    </row>
    <row r="103" spans="1:6">
      <c r="A103" s="1205" t="s">
        <v>77</v>
      </c>
      <c r="B103" s="335">
        <v>221</v>
      </c>
    </row>
    <row r="104" spans="1:6">
      <c r="A104" s="1205" t="s">
        <v>78</v>
      </c>
      <c r="B104" s="335">
        <v>2623</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2</v>
      </c>
    </row>
    <row r="111" spans="1:6">
      <c r="A111" s="1221" t="s">
        <v>710</v>
      </c>
      <c r="B111" s="1222">
        <v>1</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13</v>
      </c>
    </row>
    <row r="124" spans="1:6">
      <c r="A124" s="1201" t="s">
        <v>89</v>
      </c>
      <c r="B124" s="335">
        <v>0</v>
      </c>
      <c r="C124" s="335">
        <v>2</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74</v>
      </c>
    </row>
    <row r="130" spans="1:6">
      <c r="A130" s="1205" t="s">
        <v>295</v>
      </c>
      <c r="B130" s="335">
        <v>3</v>
      </c>
    </row>
    <row r="131" spans="1:6">
      <c r="A131" s="1205" t="s">
        <v>296</v>
      </c>
      <c r="B131" s="335">
        <v>3</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162681.24373839059</v>
      </c>
      <c r="C3" s="44" t="s">
        <v>170</v>
      </c>
      <c r="D3" s="44"/>
      <c r="E3" s="157"/>
      <c r="F3" s="44"/>
      <c r="G3" s="44"/>
      <c r="H3" s="44"/>
      <c r="I3" s="44"/>
      <c r="J3" s="44"/>
      <c r="K3" s="97"/>
    </row>
    <row r="4" spans="1:11">
      <c r="A4" s="365" t="s">
        <v>171</v>
      </c>
      <c r="B4" s="50">
        <f>IF(ISERROR('SEAP template'!B69),0,'SEAP template'!B69)</f>
        <v>26835.235082490428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0.18454474051865855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2312.5859999999998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2312.5859999999998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0.18454474051865855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426.77558329708245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41773.866999999998</v>
      </c>
      <c r="C5" s="18">
        <f>IF(ISERROR('Eigen informatie GS &amp; warmtenet'!B57),0,'Eigen informatie GS &amp; warmtenet'!B57)</f>
        <v>0</v>
      </c>
      <c r="D5" s="31">
        <f>(SUM(HH_hh_gas_kWh,HH_rest_gas_kWh)/1000)*0.902</f>
        <v>135028.6051202518</v>
      </c>
      <c r="E5" s="18">
        <f>B46*B57</f>
        <v>6468.0691457123812</v>
      </c>
      <c r="F5" s="18">
        <f>B51*B62</f>
        <v>9601.4797184794788</v>
      </c>
      <c r="G5" s="19"/>
      <c r="H5" s="18"/>
      <c r="I5" s="18"/>
      <c r="J5" s="18">
        <f>B50*B61+C50*C61</f>
        <v>0</v>
      </c>
      <c r="K5" s="18"/>
      <c r="L5" s="18"/>
      <c r="M5" s="18"/>
      <c r="N5" s="18">
        <f>B48*B59+C48*C59</f>
        <v>30088.714538454453</v>
      </c>
      <c r="O5" s="18">
        <f>B69*B70*B71</f>
        <v>139.13666666666668</v>
      </c>
      <c r="P5" s="18">
        <f>B77*B78*B79/1000-B77*B78*B79/1000/B80</f>
        <v>114.4</v>
      </c>
    </row>
    <row r="6" spans="1:16">
      <c r="A6" s="17" t="s">
        <v>639</v>
      </c>
      <c r="B6" s="831">
        <f>kWh_PV_kleiner_dan_10kW</f>
        <v>3808.6692164312003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45582.536216431195</v>
      </c>
      <c r="C8" s="22">
        <f>C5</f>
        <v>0</v>
      </c>
      <c r="D8" s="22">
        <f>D5</f>
        <v>135028.6051202518</v>
      </c>
      <c r="E8" s="22">
        <f>E5</f>
        <v>6468.0691457123812</v>
      </c>
      <c r="F8" s="22">
        <f>F5</f>
        <v>9601.4797184794788</v>
      </c>
      <c r="G8" s="22"/>
      <c r="H8" s="22"/>
      <c r="I8" s="22"/>
      <c r="J8" s="22">
        <f>J5</f>
        <v>0</v>
      </c>
      <c r="K8" s="22"/>
      <c r="L8" s="22">
        <f>L5</f>
        <v>0</v>
      </c>
      <c r="M8" s="22">
        <f>M5</f>
        <v>0</v>
      </c>
      <c r="N8" s="22">
        <f>N5</f>
        <v>30088.714538454453</v>
      </c>
      <c r="O8" s="22">
        <f>O5</f>
        <v>139.13666666666668</v>
      </c>
      <c r="P8" s="22">
        <f>P5</f>
        <v>114.4</v>
      </c>
    </row>
    <row r="9" spans="1:16">
      <c r="B9" s="20"/>
      <c r="C9" s="20"/>
      <c r="D9" s="262"/>
      <c r="E9" s="20"/>
      <c r="F9" s="20"/>
      <c r="G9" s="20"/>
      <c r="H9" s="20"/>
      <c r="I9" s="20"/>
      <c r="J9" s="20"/>
      <c r="K9" s="20"/>
      <c r="L9" s="20"/>
      <c r="M9" s="20"/>
      <c r="N9" s="20"/>
      <c r="O9" s="20"/>
      <c r="P9" s="20"/>
    </row>
    <row r="10" spans="1:16">
      <c r="A10" s="25" t="s">
        <v>214</v>
      </c>
      <c r="B10" s="26">
        <f ca="1">'EF ele_warmte'!B12</f>
        <v>0.18454474051865855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8412.0173182436502</v>
      </c>
      <c r="C12" s="24">
        <f ca="1">C10*C8</f>
        <v>0</v>
      </c>
      <c r="D12" s="24">
        <f>D8*D10</f>
        <v>27275.778234290865</v>
      </c>
      <c r="E12" s="24">
        <f>E10*E8</f>
        <v>1468.2516960767107</v>
      </c>
      <c r="F12" s="24">
        <f>F10*F8</f>
        <v>2563.5950848340208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6493</v>
      </c>
      <c r="C18" s="169" t="s">
        <v>111</v>
      </c>
      <c r="D18" s="231"/>
      <c r="E18" s="16"/>
    </row>
    <row r="19" spans="1:7">
      <c r="A19" s="174" t="s">
        <v>72</v>
      </c>
      <c r="B19" s="38">
        <f>aantalw2001_ander</f>
        <v>1</v>
      </c>
      <c r="C19" s="169" t="s">
        <v>111</v>
      </c>
      <c r="D19" s="232"/>
      <c r="E19" s="16"/>
    </row>
    <row r="20" spans="1:7">
      <c r="A20" s="174" t="s">
        <v>73</v>
      </c>
      <c r="B20" s="38">
        <f>aantalw2001_propaan</f>
        <v>111</v>
      </c>
      <c r="C20" s="170">
        <f>IF(ISERROR(B20/SUM($B$20,$B$21,$B$22)*100),0,B20/SUM($B$20,$B$21,$B$22)*100)</f>
        <v>12.171052631578947</v>
      </c>
      <c r="D20" s="232"/>
      <c r="E20" s="16"/>
    </row>
    <row r="21" spans="1:7">
      <c r="A21" s="174" t="s">
        <v>74</v>
      </c>
      <c r="B21" s="38">
        <f>aantalw2001_elektriciteit</f>
        <v>642</v>
      </c>
      <c r="C21" s="170">
        <f>IF(ISERROR(B21/SUM($B$20,$B$21,$B$22)*100),0,B21/SUM($B$20,$B$21,$B$22)*100)</f>
        <v>70.39473684210526</v>
      </c>
      <c r="D21" s="232"/>
      <c r="E21" s="16"/>
    </row>
    <row r="22" spans="1:7">
      <c r="A22" s="174" t="s">
        <v>75</v>
      </c>
      <c r="B22" s="38">
        <f>aantalw2001_hout</f>
        <v>159</v>
      </c>
      <c r="C22" s="170">
        <f>IF(ISERROR(B22/SUM($B$20,$B$21,$B$22)*100),0,B22/SUM($B$20,$B$21,$B$22)*100)</f>
        <v>17.434210526315788</v>
      </c>
      <c r="D22" s="232"/>
      <c r="E22" s="16"/>
    </row>
    <row r="23" spans="1:7">
      <c r="A23" s="174" t="s">
        <v>76</v>
      </c>
      <c r="B23" s="38">
        <f>aantalw2001_niet_gespec</f>
        <v>177</v>
      </c>
      <c r="C23" s="169" t="s">
        <v>111</v>
      </c>
      <c r="D23" s="231"/>
      <c r="E23" s="16"/>
    </row>
    <row r="24" spans="1:7">
      <c r="A24" s="174" t="s">
        <v>77</v>
      </c>
      <c r="B24" s="38">
        <f>aantalw2001_steenkool</f>
        <v>221</v>
      </c>
      <c r="C24" s="169" t="s">
        <v>111</v>
      </c>
      <c r="D24" s="232"/>
      <c r="E24" s="16"/>
    </row>
    <row r="25" spans="1:7">
      <c r="A25" s="174" t="s">
        <v>78</v>
      </c>
      <c r="B25" s="38">
        <f>aantalw2001_stookolie</f>
        <v>2623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11771</v>
      </c>
      <c r="C28" s="37"/>
      <c r="D28" s="231"/>
    </row>
    <row r="29" spans="1:7" s="16" customFormat="1">
      <c r="A29" s="233" t="s">
        <v>666</v>
      </c>
      <c r="B29" s="38">
        <f>SUM(HH_hh_gas_aantal,HH_rest_gas_aantal)</f>
        <v>8867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8867</v>
      </c>
      <c r="C32" s="170">
        <f>IF(ISERROR(B32/SUM($B$32,$B$34,$B$35,$B$36,$B$38,$B$39)*100),0,B32/SUM($B$32,$B$34,$B$35,$B$36,$B$38,$B$39)*100)</f>
        <v>75.367615809604757</v>
      </c>
      <c r="D32" s="236"/>
      <c r="G32" s="16"/>
    </row>
    <row r="33" spans="1:7">
      <c r="A33" s="174" t="s">
        <v>72</v>
      </c>
      <c r="B33" s="35" t="s">
        <v>111</v>
      </c>
      <c r="C33" s="170"/>
      <c r="D33" s="236"/>
      <c r="G33" s="16"/>
    </row>
    <row r="34" spans="1:7">
      <c r="A34" s="174" t="s">
        <v>73</v>
      </c>
      <c r="B34" s="34">
        <f>IF((($B$28-$B$32-$B$39-$B$77-$B$38)*C20/100)&lt;0,0,($B$28-$B$32-$B$39-$B$77-$B$38)*C20/100)</f>
        <v>293.51710526315787</v>
      </c>
      <c r="C34" s="170">
        <f>IF(ISERROR(B34/SUM($B$32,$B$34,$B$35,$B$36,$B$38,$B$39)*100),0,B34/SUM($B$32,$B$34,$B$35,$B$36,$B$38,$B$39)*100)</f>
        <v>2.4948330239112444</v>
      </c>
      <c r="D34" s="236"/>
      <c r="G34" s="16"/>
    </row>
    <row r="35" spans="1:7">
      <c r="A35" s="174" t="s">
        <v>74</v>
      </c>
      <c r="B35" s="34">
        <f>IF((($B$28-$B$32-$B$39-$B$77-$B$38)*C21/100)&lt;0,0,($B$28-$B$32-$B$39-$B$77-$B$38)*C21/100)</f>
        <v>1697.6394736842103</v>
      </c>
      <c r="C35" s="170">
        <f>IF(ISERROR(B35/SUM($B$32,$B$34,$B$35,$B$36,$B$38,$B$39)*100),0,B35/SUM($B$32,$B$34,$B$35,$B$36,$B$38,$B$39)*100)</f>
        <v>14.429574786946114</v>
      </c>
      <c r="D35" s="236"/>
      <c r="G35" s="16"/>
    </row>
    <row r="36" spans="1:7">
      <c r="A36" s="174" t="s">
        <v>75</v>
      </c>
      <c r="B36" s="34">
        <f>IF((($B$28-$B$32-$B$39-$B$77-$B$38)*C22/100)&lt;0,0,($B$28-$B$32-$B$39-$B$77-$B$38)*C22/100)</f>
        <v>420.44342105263155</v>
      </c>
      <c r="C36" s="170">
        <f>IF(ISERROR(B36/SUM($B$32,$B$34,$B$35,$B$36,$B$38,$B$39)*100),0,B36/SUM($B$32,$B$34,$B$35,$B$36,$B$38,$B$39)*100)</f>
        <v>3.5736797369539444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486.40000000000009</v>
      </c>
      <c r="C39" s="170">
        <f>IF(ISERROR(B39/SUM($B$32,$B$34,$B$35,$B$36,$B$38,$B$39)*100),0,B39/SUM($B$32,$B$34,$B$35,$B$36,$B$38,$B$39)*100)</f>
        <v>4.1342966425839363</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8867</v>
      </c>
      <c r="C44" s="35" t="s">
        <v>111</v>
      </c>
      <c r="D44" s="177"/>
    </row>
    <row r="45" spans="1:7">
      <c r="A45" s="174" t="s">
        <v>72</v>
      </c>
      <c r="B45" s="34" t="str">
        <f t="shared" si="0"/>
        <v>-</v>
      </c>
      <c r="C45" s="35" t="s">
        <v>111</v>
      </c>
      <c r="D45" s="177"/>
    </row>
    <row r="46" spans="1:7">
      <c r="A46" s="174" t="s">
        <v>73</v>
      </c>
      <c r="B46" s="34">
        <f t="shared" si="0"/>
        <v>293.51710526315787</v>
      </c>
      <c r="C46" s="35" t="s">
        <v>111</v>
      </c>
      <c r="D46" s="177"/>
    </row>
    <row r="47" spans="1:7">
      <c r="A47" s="174" t="s">
        <v>74</v>
      </c>
      <c r="B47" s="34">
        <f t="shared" si="0"/>
        <v>1697.6394736842103</v>
      </c>
      <c r="C47" s="35" t="s">
        <v>111</v>
      </c>
      <c r="D47" s="177"/>
    </row>
    <row r="48" spans="1:7">
      <c r="A48" s="174" t="s">
        <v>75</v>
      </c>
      <c r="B48" s="34">
        <f t="shared" si="0"/>
        <v>420.44342105263155</v>
      </c>
      <c r="C48" s="34">
        <f>B48*10</f>
        <v>4204.4342105263158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486.40000000000009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32918.796999999999</v>
      </c>
      <c r="C5" s="18">
        <f>IF(ISERROR('Eigen informatie GS &amp; warmtenet'!B58),0,'Eigen informatie GS &amp; warmtenet'!B58)</f>
        <v>0</v>
      </c>
      <c r="D5" s="31">
        <f>SUM(D6:D12)</f>
        <v>39607.861273098461</v>
      </c>
      <c r="E5" s="18">
        <f>SUM(E6:E12)</f>
        <v>257.72250204812627</v>
      </c>
      <c r="F5" s="18">
        <f>SUM(F6:F12)</f>
        <v>7248.0599484329277</v>
      </c>
      <c r="G5" s="19"/>
      <c r="H5" s="18"/>
      <c r="I5" s="18"/>
      <c r="J5" s="18">
        <f>SUM(J6:J12)</f>
        <v>0</v>
      </c>
      <c r="K5" s="18"/>
      <c r="L5" s="18"/>
      <c r="M5" s="18"/>
      <c r="N5" s="18">
        <f>SUM(N6:N12)</f>
        <v>1450.8220090765706</v>
      </c>
      <c r="O5" s="18">
        <f>B38*B39*B40</f>
        <v>4.6900000000000004</v>
      </c>
      <c r="P5" s="18">
        <f>B46*B47*B48/1000-B46*B47*B48/1000/B49</f>
        <v>57.2</v>
      </c>
      <c r="R5" s="33"/>
    </row>
    <row r="6" spans="1:18">
      <c r="A6" s="33" t="s">
        <v>54</v>
      </c>
      <c r="B6" s="38">
        <f>B26</f>
        <v>6649.0940000000001</v>
      </c>
      <c r="C6" s="34"/>
      <c r="D6" s="38">
        <f>IF(ISERROR(TER_kantoor_gas_kWh/1000),0,TER_kantoor_gas_kWh/1000)*0.902</f>
        <v>10633.497965443315</v>
      </c>
      <c r="E6" s="34">
        <f>$C$26*'E Balans VL '!I12/100/3.6*1000000</f>
        <v>10.912510864771397</v>
      </c>
      <c r="F6" s="34">
        <f>$C$26*('E Balans VL '!L12+'E Balans VL '!N12)/100/3.6*1000000</f>
        <v>783.77173791383746</v>
      </c>
      <c r="G6" s="35"/>
      <c r="H6" s="34"/>
      <c r="I6" s="34"/>
      <c r="J6" s="34">
        <f>$C$26*('E Balans VL '!D12+'E Balans VL '!E12)/100/3.6*1000000</f>
        <v>0</v>
      </c>
      <c r="K6" s="34"/>
      <c r="L6" s="34"/>
      <c r="M6" s="34"/>
      <c r="N6" s="34">
        <f>$C$26*'E Balans VL '!Y12/100/3.6*1000000</f>
        <v>1.3434179566622304</v>
      </c>
      <c r="O6" s="34"/>
      <c r="P6" s="34"/>
      <c r="R6" s="33"/>
    </row>
    <row r="7" spans="1:18">
      <c r="A7" s="33" t="s">
        <v>53</v>
      </c>
      <c r="B7" s="38">
        <f t="shared" ref="B7:B12" si="0">B27</f>
        <v>2662.3449999999998</v>
      </c>
      <c r="C7" s="34"/>
      <c r="D7" s="38">
        <f>IF(ISERROR(TER_horeca_gas_kWh/1000),0,TER_horeca_gas_kWh/1000)*0.902</f>
        <v>3716.635567969472</v>
      </c>
      <c r="E7" s="34">
        <f>$C$27*'E Balans VL '!I9/100/3.6*1000000</f>
        <v>138.15644035932132</v>
      </c>
      <c r="F7" s="34">
        <f>$C$27*('E Balans VL '!L9+'E Balans VL '!N9)/100/3.6*1000000</f>
        <v>607.54906080710634</v>
      </c>
      <c r="G7" s="35"/>
      <c r="H7" s="34"/>
      <c r="I7" s="34"/>
      <c r="J7" s="34">
        <f>$C$27*('E Balans VL '!D9+'E Balans VL '!E9)/100/3.6*1000000</f>
        <v>0</v>
      </c>
      <c r="K7" s="34"/>
      <c r="L7" s="34"/>
      <c r="M7" s="34"/>
      <c r="N7" s="34">
        <f>$C$27*'E Balans VL '!Y9/100/3.6*1000000</f>
        <v>0.28114241192717515</v>
      </c>
      <c r="O7" s="34"/>
      <c r="P7" s="34"/>
      <c r="R7" s="33"/>
    </row>
    <row r="8" spans="1:18">
      <c r="A8" s="6" t="s">
        <v>52</v>
      </c>
      <c r="B8" s="38">
        <f t="shared" si="0"/>
        <v>15721.588</v>
      </c>
      <c r="C8" s="34"/>
      <c r="D8" s="38">
        <f>IF(ISERROR(TER_handel_gas_kWh/1000),0,TER_handel_gas_kWh/1000)*0.902</f>
        <v>6747.3180580041835</v>
      </c>
      <c r="E8" s="34">
        <f>$C$28*'E Balans VL '!I13/100/3.6*1000000</f>
        <v>84.662683306391429</v>
      </c>
      <c r="F8" s="34">
        <f>$C$28*('E Balans VL '!L13+'E Balans VL '!N13)/100/3.6*1000000</f>
        <v>3206.0989967158516</v>
      </c>
      <c r="G8" s="35"/>
      <c r="H8" s="34"/>
      <c r="I8" s="34"/>
      <c r="J8" s="34">
        <f>$C$28*('E Balans VL '!D13+'E Balans VL '!E13)/100/3.6*1000000</f>
        <v>0</v>
      </c>
      <c r="K8" s="34"/>
      <c r="L8" s="34"/>
      <c r="M8" s="34"/>
      <c r="N8" s="34">
        <f>$C$28*'E Balans VL '!Y13/100/3.6*1000000</f>
        <v>78.175154791243855</v>
      </c>
      <c r="O8" s="34"/>
      <c r="P8" s="34"/>
      <c r="R8" s="33"/>
    </row>
    <row r="9" spans="1:18">
      <c r="A9" s="33" t="s">
        <v>51</v>
      </c>
      <c r="B9" s="38">
        <f t="shared" si="0"/>
        <v>4567.5349999999999</v>
      </c>
      <c r="C9" s="34"/>
      <c r="D9" s="38">
        <f>IF(ISERROR(TER_gezond_gas_kWh/1000),0,TER_gezond_gas_kWh/1000)*0.902</f>
        <v>7111.8480651772907</v>
      </c>
      <c r="E9" s="34">
        <f>$C$29*'E Balans VL '!I10/100/3.6*1000000</f>
        <v>4.5264791267930526</v>
      </c>
      <c r="F9" s="34">
        <f>$C$29*('E Balans VL '!L10+'E Balans VL '!N10)/100/3.6*1000000</f>
        <v>1584.8029908544511</v>
      </c>
      <c r="G9" s="35"/>
      <c r="H9" s="34"/>
      <c r="I9" s="34"/>
      <c r="J9" s="34">
        <f>$C$29*('E Balans VL '!D10+'E Balans VL '!E10)/100/3.6*1000000</f>
        <v>0</v>
      </c>
      <c r="K9" s="34"/>
      <c r="L9" s="34"/>
      <c r="M9" s="34"/>
      <c r="N9" s="34">
        <f>$C$29*'E Balans VL '!Y10/100/3.6*1000000</f>
        <v>39.358053411339974</v>
      </c>
      <c r="O9" s="34"/>
      <c r="P9" s="34"/>
      <c r="R9" s="33"/>
    </row>
    <row r="10" spans="1:18">
      <c r="A10" s="33" t="s">
        <v>50</v>
      </c>
      <c r="B10" s="38">
        <f t="shared" si="0"/>
        <v>2302.7089999999998</v>
      </c>
      <c r="C10" s="34"/>
      <c r="D10" s="38">
        <f>IF(ISERROR(TER_ander_gas_kWh/1000),0,TER_ander_gas_kWh/1000)*0.902</f>
        <v>3415.9407832101656</v>
      </c>
      <c r="E10" s="34">
        <f>$C$30*'E Balans VL '!I14/100/3.6*1000000</f>
        <v>18.838461013745217</v>
      </c>
      <c r="F10" s="34">
        <f>$C$30*('E Balans VL '!L14+'E Balans VL '!N14)/100/3.6*1000000</f>
        <v>673.21836443393056</v>
      </c>
      <c r="G10" s="35"/>
      <c r="H10" s="34"/>
      <c r="I10" s="34"/>
      <c r="J10" s="34">
        <f>$C$30*('E Balans VL '!D14+'E Balans VL '!E14)/100/3.6*1000000</f>
        <v>0</v>
      </c>
      <c r="K10" s="34"/>
      <c r="L10" s="34"/>
      <c r="M10" s="34"/>
      <c r="N10" s="34">
        <f>$C$30*'E Balans VL '!Y14/100/3.6*1000000</f>
        <v>1328.3609520499726</v>
      </c>
      <c r="O10" s="34"/>
      <c r="P10" s="34"/>
      <c r="R10" s="33"/>
    </row>
    <row r="11" spans="1:18">
      <c r="A11" s="33" t="s">
        <v>55</v>
      </c>
      <c r="B11" s="38">
        <f t="shared" si="0"/>
        <v>1015.526</v>
      </c>
      <c r="C11" s="34"/>
      <c r="D11" s="38">
        <f>IF(ISERROR(TER_onderwijs_gas_kWh/1000),0,TER_onderwijs_gas_kWh/1000)*0.902</f>
        <v>3973.4049729507969</v>
      </c>
      <c r="E11" s="34">
        <f>$C$31*'E Balans VL '!I11/100/3.6*1000000</f>
        <v>0.625927377103904</v>
      </c>
      <c r="F11" s="34">
        <f>$C$31*('E Balans VL '!L11+'E Balans VL '!N11)/100/3.6*1000000</f>
        <v>392.6187977077505</v>
      </c>
      <c r="G11" s="35"/>
      <c r="H11" s="34"/>
      <c r="I11" s="34"/>
      <c r="J11" s="34">
        <f>$C$31*('E Balans VL '!D11+'E Balans VL '!E11)/100/3.6*1000000</f>
        <v>0</v>
      </c>
      <c r="K11" s="34"/>
      <c r="L11" s="34"/>
      <c r="M11" s="34"/>
      <c r="N11" s="34">
        <f>$C$31*'E Balans VL '!Y11/100/3.6*1000000</f>
        <v>3.3032884554247555</v>
      </c>
      <c r="O11" s="34"/>
      <c r="P11" s="34"/>
      <c r="R11" s="33"/>
    </row>
    <row r="12" spans="1:18">
      <c r="A12" s="33" t="s">
        <v>260</v>
      </c>
      <c r="B12" s="38">
        <f t="shared" si="0"/>
        <v>0</v>
      </c>
      <c r="C12" s="34"/>
      <c r="D12" s="38">
        <f>IF(ISERROR(TER_rest_gas_kWh/1000),0,TER_rest_gas_kWh/1000)*0.902</f>
        <v>4009.2158603432308</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32918.796999999999</v>
      </c>
      <c r="C16" s="22">
        <f t="shared" ca="1" si="1"/>
        <v>0</v>
      </c>
      <c r="D16" s="22">
        <f t="shared" ca="1" si="1"/>
        <v>39607.861273098461</v>
      </c>
      <c r="E16" s="22">
        <f t="shared" si="1"/>
        <v>257.72250204812627</v>
      </c>
      <c r="F16" s="22">
        <f t="shared" ca="1" si="1"/>
        <v>7248.0599484329277</v>
      </c>
      <c r="G16" s="22">
        <f t="shared" si="1"/>
        <v>0</v>
      </c>
      <c r="H16" s="22">
        <f t="shared" si="1"/>
        <v>0</v>
      </c>
      <c r="I16" s="22">
        <f t="shared" si="1"/>
        <v>0</v>
      </c>
      <c r="J16" s="22">
        <f t="shared" si="1"/>
        <v>0</v>
      </c>
      <c r="K16" s="22">
        <f t="shared" si="1"/>
        <v>0</v>
      </c>
      <c r="L16" s="22">
        <f t="shared" ca="1" si="1"/>
        <v>0</v>
      </c>
      <c r="M16" s="22">
        <f t="shared" si="1"/>
        <v>0</v>
      </c>
      <c r="N16" s="22">
        <f t="shared" ca="1" si="1"/>
        <v>1450.8220090765706</v>
      </c>
      <c r="O16" s="22">
        <f>O5</f>
        <v>4.6900000000000004</v>
      </c>
      <c r="P16" s="22">
        <f>P5</f>
        <v>57.2</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0.18454474051865855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6074.9908505513949</v>
      </c>
      <c r="C20" s="24">
        <f t="shared" ref="C20:P20" ca="1" si="2">C16*C18</f>
        <v>0</v>
      </c>
      <c r="D20" s="24">
        <f t="shared" ca="1" si="2"/>
        <v>8000.78797716589</v>
      </c>
      <c r="E20" s="24">
        <f t="shared" si="2"/>
        <v>58.503007964924663</v>
      </c>
      <c r="F20" s="24">
        <f t="shared" ca="1" si="2"/>
        <v>1935.2320062315919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6649.0940000000001</v>
      </c>
      <c r="C26" s="40">
        <f>IF(ISERROR(B26*3.6/1000000/'E Balans VL '!Z12*100),0,B26*3.6/1000000/'E Balans VL '!Z12*100)</f>
        <v>0.14128847922828014</v>
      </c>
      <c r="D26" s="240" t="s">
        <v>707</v>
      </c>
      <c r="F26" s="6"/>
    </row>
    <row r="27" spans="1:18">
      <c r="A27" s="234" t="s">
        <v>53</v>
      </c>
      <c r="B27" s="34">
        <f>IF(ISERROR(TER_horeca_ele_kWh/1000),0,TER_horeca_ele_kWh/1000)</f>
        <v>2662.3449999999998</v>
      </c>
      <c r="C27" s="40">
        <f>IF(ISERROR(B27*3.6/1000000/'E Balans VL '!Z9*100),0,B27*3.6/1000000/'E Balans VL '!Z9*100)</f>
        <v>0.20954713932460259</v>
      </c>
      <c r="D27" s="240" t="s">
        <v>707</v>
      </c>
      <c r="F27" s="6"/>
    </row>
    <row r="28" spans="1:18">
      <c r="A28" s="174" t="s">
        <v>52</v>
      </c>
      <c r="B28" s="34">
        <f>IF(ISERROR(TER_handel_ele_kWh/1000),0,TER_handel_ele_kWh/1000)</f>
        <v>15721.588</v>
      </c>
      <c r="C28" s="40">
        <f>IF(ISERROR(B28*3.6/1000000/'E Balans VL '!Z13*100),0,B28*3.6/1000000/'E Balans VL '!Z13*100)</f>
        <v>0.44037009374172081</v>
      </c>
      <c r="D28" s="240" t="s">
        <v>707</v>
      </c>
      <c r="F28" s="6"/>
    </row>
    <row r="29" spans="1:18">
      <c r="A29" s="234" t="s">
        <v>51</v>
      </c>
      <c r="B29" s="34">
        <f>IF(ISERROR(TER_gezond_ele_kWh/1000),0,TER_gezond_ele_kWh/1000)</f>
        <v>4567.5349999999999</v>
      </c>
      <c r="C29" s="40">
        <f>IF(ISERROR(B29*3.6/1000000/'E Balans VL '!Z10*100),0,B29*3.6/1000000/'E Balans VL '!Z10*100)</f>
        <v>0.58432584319583403</v>
      </c>
      <c r="D29" s="240" t="s">
        <v>707</v>
      </c>
      <c r="F29" s="6"/>
    </row>
    <row r="30" spans="1:18">
      <c r="A30" s="234" t="s">
        <v>50</v>
      </c>
      <c r="B30" s="34">
        <f>IF(ISERROR(TER_ander_ele_kWh/1000),0,TER_ander_ele_kWh/1000)</f>
        <v>2302.7089999999998</v>
      </c>
      <c r="C30" s="40">
        <f>IF(ISERROR(B30*3.6/1000000/'E Balans VL '!Z14*100),0,B30*3.6/1000000/'E Balans VL '!Z14*100)</f>
        <v>0.17222323023501754</v>
      </c>
      <c r="D30" s="240" t="s">
        <v>707</v>
      </c>
      <c r="F30" s="6"/>
    </row>
    <row r="31" spans="1:18">
      <c r="A31" s="234" t="s">
        <v>55</v>
      </c>
      <c r="B31" s="34">
        <f>IF(ISERROR(TER_onderwijs_ele_kWh/1000),0,TER_onderwijs_ele_kWh/1000)</f>
        <v>1015.526</v>
      </c>
      <c r="C31" s="40">
        <f>IF(ISERROR(B31*3.6/1000000/'E Balans VL '!Z11*100),0,B31*3.6/1000000/'E Balans VL '!Z11*100)</f>
        <v>0.21442963034240542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3</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79992.00499999999</v>
      </c>
      <c r="C5" s="18">
        <f>IF(ISERROR('Eigen informatie GS &amp; warmtenet'!B59),0,'Eigen informatie GS &amp; warmtenet'!B59)</f>
        <v>0</v>
      </c>
      <c r="D5" s="31">
        <f>SUM(D6:D15)</f>
        <v>58333.387757673539</v>
      </c>
      <c r="E5" s="18">
        <f>SUM(E6:E15)</f>
        <v>705.54275649563795</v>
      </c>
      <c r="F5" s="18">
        <f>SUM(F6:F15)</f>
        <v>20580.653733048424</v>
      </c>
      <c r="G5" s="19"/>
      <c r="H5" s="18"/>
      <c r="I5" s="18"/>
      <c r="J5" s="18">
        <f>SUM(J6:J15)</f>
        <v>259.63530529322162</v>
      </c>
      <c r="K5" s="18"/>
      <c r="L5" s="18"/>
      <c r="M5" s="18"/>
      <c r="N5" s="18">
        <f>SUM(N6:N15)</f>
        <v>2489.2295684227233</v>
      </c>
      <c r="O5" s="18">
        <f>B43*B44*B45</f>
        <v>0</v>
      </c>
      <c r="P5" s="18">
        <f>B51*B52*B53/1000-B51*B52*B53/1000/B54</f>
        <v>0</v>
      </c>
      <c r="R5" s="33"/>
    </row>
    <row r="6" spans="1:18">
      <c r="A6" s="6" t="s">
        <v>35</v>
      </c>
      <c r="B6" s="38">
        <f>IF( ISERROR(IND_ijzer_ele_kWh/1000),0,IND_ijzer_ele_kWh/1000)</f>
        <v>311.209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15517.539000000001</v>
      </c>
      <c r="C8" s="34"/>
      <c r="D8" s="38">
        <f>IF( ISERROR(IND_metaal_Gas_kWH/1000),0,IND_metaal_Gas_kWH/1000)*0.902</f>
        <v>523.987610164898</v>
      </c>
      <c r="E8" s="34">
        <f>C30*'E Balans VL '!I18/100/3.6*1000000</f>
        <v>141.31543122076181</v>
      </c>
      <c r="F8" s="34">
        <f>C30*'E Balans VL '!L18/100/3.6*1000000+C30*'E Balans VL '!N18/100/3.6*1000000</f>
        <v>2046.6455518848304</v>
      </c>
      <c r="G8" s="35"/>
      <c r="H8" s="34"/>
      <c r="I8" s="34"/>
      <c r="J8" s="41">
        <f>C30*'E Balans VL '!D18/100/3.6*1000000+C30*'E Balans VL '!E18/100/3.6*1000000</f>
        <v>254.46510894467662</v>
      </c>
      <c r="K8" s="34"/>
      <c r="L8" s="34"/>
      <c r="M8" s="34"/>
      <c r="N8" s="34">
        <f>C30*'E Balans VL '!Y18/100/3.6*1000000</f>
        <v>53.327617216444942</v>
      </c>
      <c r="O8" s="34"/>
      <c r="P8" s="34"/>
      <c r="R8" s="33"/>
    </row>
    <row r="9" spans="1:18">
      <c r="A9" s="6" t="s">
        <v>33</v>
      </c>
      <c r="B9" s="38">
        <f t="shared" si="0"/>
        <v>17037.206999999999</v>
      </c>
      <c r="C9" s="34"/>
      <c r="D9" s="38">
        <f>IF( ISERROR(IND_andere_gas_kWh/1000),0,IND_andere_gas_kWh/1000)*0.902</f>
        <v>10095.947218210365</v>
      </c>
      <c r="E9" s="34">
        <f>C31*'E Balans VL '!I19/100/3.6*1000000</f>
        <v>98.477602459998906</v>
      </c>
      <c r="F9" s="34">
        <f>C31*'E Balans VL '!L19/100/3.6*1000000+C31*'E Balans VL '!N19/100/3.6*1000000</f>
        <v>13553.917966460243</v>
      </c>
      <c r="G9" s="35"/>
      <c r="H9" s="34"/>
      <c r="I9" s="34"/>
      <c r="J9" s="41">
        <f>C31*'E Balans VL '!D19/100/3.6*1000000+C31*'E Balans VL '!E19/100/3.6*1000000</f>
        <v>1.6115305382647509</v>
      </c>
      <c r="K9" s="34"/>
      <c r="L9" s="34"/>
      <c r="M9" s="34"/>
      <c r="N9" s="34">
        <f>C31*'E Balans VL '!Y19/100/3.6*1000000</f>
        <v>1290.8262595382212</v>
      </c>
      <c r="O9" s="34"/>
      <c r="P9" s="34"/>
      <c r="R9" s="33"/>
    </row>
    <row r="10" spans="1:18">
      <c r="A10" s="6" t="s">
        <v>41</v>
      </c>
      <c r="B10" s="38">
        <f t="shared" si="0"/>
        <v>40034.186999999998</v>
      </c>
      <c r="C10" s="34"/>
      <c r="D10" s="38">
        <f>IF( ISERROR(IND_voed_gas_kWh/1000),0,IND_voed_gas_kWh/1000)*0.902</f>
        <v>2316.9561001546535</v>
      </c>
      <c r="E10" s="34">
        <f>C32*'E Balans VL '!I20/100/3.6*1000000</f>
        <v>393.64079370095328</v>
      </c>
      <c r="F10" s="34">
        <f>C32*'E Balans VL '!L20/100/3.6*1000000+C32*'E Balans VL '!N20/100/3.6*1000000</f>
        <v>4446.3190183564166</v>
      </c>
      <c r="G10" s="35"/>
      <c r="H10" s="34"/>
      <c r="I10" s="34"/>
      <c r="J10" s="41">
        <f>C32*'E Balans VL '!D20/100/3.6*1000000+C32*'E Balans VL '!E20/100/3.6*1000000</f>
        <v>0.15779290539430085</v>
      </c>
      <c r="K10" s="34"/>
      <c r="L10" s="34"/>
      <c r="M10" s="34"/>
      <c r="N10" s="34">
        <f>C32*'E Balans VL '!Y20/100/3.6*1000000</f>
        <v>592.81213913589499</v>
      </c>
      <c r="O10" s="34"/>
      <c r="P10" s="34"/>
      <c r="R10" s="33"/>
    </row>
    <row r="11" spans="1:18">
      <c r="A11" s="6" t="s">
        <v>40</v>
      </c>
      <c r="B11" s="38">
        <f t="shared" si="0"/>
        <v>4785.1970000000001</v>
      </c>
      <c r="C11" s="34"/>
      <c r="D11" s="38">
        <f>IF( ISERROR(IND_textiel_gas_kWh/1000),0,IND_textiel_gas_kWh/1000)*0.902</f>
        <v>0</v>
      </c>
      <c r="E11" s="34">
        <f>C33*'E Balans VL '!I21/100/3.6*1000000</f>
        <v>9.3178897145030284</v>
      </c>
      <c r="F11" s="34">
        <f>C33*'E Balans VL '!L21/100/3.6*1000000+C33*'E Balans VL '!N21/100/3.6*1000000</f>
        <v>157.83149970109764</v>
      </c>
      <c r="G11" s="35"/>
      <c r="H11" s="34"/>
      <c r="I11" s="34"/>
      <c r="J11" s="41">
        <f>C33*'E Balans VL '!D21/100/3.6*1000000+C33*'E Balans VL '!E21/100/3.6*1000000</f>
        <v>0</v>
      </c>
      <c r="K11" s="34"/>
      <c r="L11" s="34"/>
      <c r="M11" s="34"/>
      <c r="N11" s="34">
        <f>C33*'E Balans VL '!Y21/100/3.6*1000000</f>
        <v>49.635078806495478</v>
      </c>
      <c r="O11" s="34"/>
      <c r="P11" s="34"/>
      <c r="R11" s="33"/>
    </row>
    <row r="12" spans="1:18">
      <c r="A12" s="6" t="s">
        <v>37</v>
      </c>
      <c r="B12" s="38">
        <f t="shared" si="0"/>
        <v>514.95600000000002</v>
      </c>
      <c r="C12" s="34"/>
      <c r="D12" s="38">
        <f>IF( ISERROR(IND_min_gas_kWh/1000),0,IND_min_gas_kWh/1000)*0.902</f>
        <v>0</v>
      </c>
      <c r="E12" s="34">
        <f>C34*'E Balans VL '!I22/100/3.6*1000000</f>
        <v>13.055050961667323</v>
      </c>
      <c r="F12" s="34">
        <f>C34*'E Balans VL '!L22/100/3.6*1000000+C34*'E Balans VL '!N22/100/3.6*1000000</f>
        <v>142.49012012562653</v>
      </c>
      <c r="G12" s="35"/>
      <c r="H12" s="34"/>
      <c r="I12" s="34"/>
      <c r="J12" s="41">
        <f>C34*'E Balans VL '!D22/100/3.6*1000000+C34*'E Balans VL '!E22/100/3.6*1000000</f>
        <v>3.4008729048859934</v>
      </c>
      <c r="K12" s="34"/>
      <c r="L12" s="34"/>
      <c r="M12" s="34"/>
      <c r="N12" s="34">
        <f>C34*'E Balans VL '!Y22/100/3.6*1000000</f>
        <v>0</v>
      </c>
      <c r="O12" s="34"/>
      <c r="P12" s="34"/>
      <c r="R12" s="33"/>
    </row>
    <row r="13" spans="1:18">
      <c r="A13" s="6" t="s">
        <v>39</v>
      </c>
      <c r="B13" s="38">
        <f t="shared" si="0"/>
        <v>1365.6020000000001</v>
      </c>
      <c r="C13" s="34"/>
      <c r="D13" s="38">
        <f>IF( ISERROR(IND_papier_gas_kWh/1000),0,IND_papier_gas_kWh/1000)*0.902</f>
        <v>736.64309052482395</v>
      </c>
      <c r="E13" s="34">
        <f>C35*'E Balans VL '!I23/100/3.6*1000000</f>
        <v>46.514384114888379</v>
      </c>
      <c r="F13" s="34">
        <f>C35*'E Balans VL '!L23/100/3.6*1000000+C35*'E Balans VL '!N23/100/3.6*1000000</f>
        <v>225.56540041095428</v>
      </c>
      <c r="G13" s="35"/>
      <c r="H13" s="34"/>
      <c r="I13" s="34"/>
      <c r="J13" s="41">
        <f>C35*'E Balans VL '!D23/100/3.6*1000000+C35*'E Balans VL '!E23/100/3.6*1000000</f>
        <v>0</v>
      </c>
      <c r="K13" s="34"/>
      <c r="L13" s="34"/>
      <c r="M13" s="34"/>
      <c r="N13" s="34">
        <f>C35*'E Balans VL '!Y23/100/3.6*1000000</f>
        <v>502.50491339334638</v>
      </c>
      <c r="O13" s="34"/>
      <c r="P13" s="34"/>
      <c r="R13" s="33"/>
    </row>
    <row r="14" spans="1:18">
      <c r="A14" s="6" t="s">
        <v>34</v>
      </c>
      <c r="B14" s="38">
        <f t="shared" si="0"/>
        <v>426.108</v>
      </c>
      <c r="C14" s="34"/>
      <c r="D14" s="38">
        <f>IF( ISERROR(IND_chemie_gas_kWh/1000),0,IND_chemie_gas_kWh/1000)*0.902</f>
        <v>0</v>
      </c>
      <c r="E14" s="34">
        <f>C36*'E Balans VL '!I24/100/3.6*1000000</f>
        <v>3.2216043228652866</v>
      </c>
      <c r="F14" s="34">
        <f>C36*'E Balans VL '!L24/100/3.6*1000000+C36*'E Balans VL '!N24/100/3.6*1000000</f>
        <v>7.8841761092580844</v>
      </c>
      <c r="G14" s="35"/>
      <c r="H14" s="34"/>
      <c r="I14" s="34"/>
      <c r="J14" s="41">
        <f>C36*'E Balans VL '!D24/100/3.6*1000000+C36*'E Balans VL '!E24/100/3.6*1000000</f>
        <v>0</v>
      </c>
      <c r="K14" s="34"/>
      <c r="L14" s="34"/>
      <c r="M14" s="34"/>
      <c r="N14" s="34">
        <f>C36*'E Balans VL '!Y24/100/3.6*1000000</f>
        <v>0.12356033232011025</v>
      </c>
      <c r="O14" s="34"/>
      <c r="P14" s="34"/>
      <c r="R14" s="33"/>
    </row>
    <row r="15" spans="1:18">
      <c r="A15" s="6" t="s">
        <v>270</v>
      </c>
      <c r="B15" s="38">
        <f t="shared" si="0"/>
        <v>0</v>
      </c>
      <c r="C15" s="34"/>
      <c r="D15" s="38">
        <f>IF( ISERROR(IND_rest_gas_kWh/1000),0,IND_rest_gas_kWh/1000)*0.902</f>
        <v>44659.853738618796</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79992.00499999999</v>
      </c>
      <c r="C18" s="22">
        <f>C5+C16</f>
        <v>0</v>
      </c>
      <c r="D18" s="22">
        <f>MAX((D5+D16),0)</f>
        <v>58333.387757673539</v>
      </c>
      <c r="E18" s="22">
        <f>MAX((E5+E16),0)</f>
        <v>705.54275649563795</v>
      </c>
      <c r="F18" s="22">
        <f>MAX((F5+F16),0)</f>
        <v>20580.653733048424</v>
      </c>
      <c r="G18" s="22"/>
      <c r="H18" s="22"/>
      <c r="I18" s="22"/>
      <c r="J18" s="22">
        <f>MAX((J5+J16),0)</f>
        <v>259.63530529322162</v>
      </c>
      <c r="K18" s="22"/>
      <c r="L18" s="22">
        <f>MAX((L5+L16),0)</f>
        <v>0</v>
      </c>
      <c r="M18" s="22"/>
      <c r="N18" s="22">
        <f>MAX((N5+N16),0)</f>
        <v>2489.2295684227233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0.18454474051865855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14762.103806292234</v>
      </c>
      <c r="C22" s="24">
        <f ca="1">C18*C20</f>
        <v>0</v>
      </c>
      <c r="D22" s="24">
        <f>D18*D20</f>
        <v>11783.344327050056</v>
      </c>
      <c r="E22" s="24">
        <f>E18*E20</f>
        <v>160.15820572450983</v>
      </c>
      <c r="F22" s="24">
        <f>F18*F20</f>
        <v>5495.0345467239295</v>
      </c>
      <c r="G22" s="24"/>
      <c r="H22" s="24"/>
      <c r="I22" s="24"/>
      <c r="J22" s="24">
        <f>J18*J20</f>
        <v>91.910898073800453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15517.539000000001</v>
      </c>
      <c r="C30" s="40">
        <f>IF(ISERROR(B30*3.6/1000000/'E Balans VL '!Z18*100),0,B30*3.6/1000000/'E Balans VL '!Z18*100)</f>
        <v>0.86344728045698282</v>
      </c>
      <c r="D30" s="240" t="s">
        <v>707</v>
      </c>
    </row>
    <row r="31" spans="1:18">
      <c r="A31" s="6" t="s">
        <v>33</v>
      </c>
      <c r="B31" s="38">
        <f>IF( ISERROR(IND_ander_ele_kWh/1000),0,IND_ander_ele_kWh/1000)</f>
        <v>17037.206999999999</v>
      </c>
      <c r="C31" s="40">
        <f>IF(ISERROR(B31*3.6/1000000/'E Balans VL '!Z19*100),0,B31*3.6/1000000/'E Balans VL '!Z19*100)</f>
        <v>0.7920150085669766</v>
      </c>
      <c r="D31" s="240" t="s">
        <v>707</v>
      </c>
    </row>
    <row r="32" spans="1:18">
      <c r="A32" s="174" t="s">
        <v>41</v>
      </c>
      <c r="B32" s="38">
        <f>IF( ISERROR(IND_voed_ele_kWh/1000),0,IND_voed_ele_kWh/1000)</f>
        <v>40034.186999999998</v>
      </c>
      <c r="C32" s="40">
        <f>IF(ISERROR(B32*3.6/1000000/'E Balans VL '!Z20*100),0,B32*3.6/1000000/'E Balans VL '!Z20*100)</f>
        <v>1.4151276579852161</v>
      </c>
      <c r="D32" s="240" t="s">
        <v>707</v>
      </c>
    </row>
    <row r="33" spans="1:5">
      <c r="A33" s="174" t="s">
        <v>40</v>
      </c>
      <c r="B33" s="38">
        <f>IF( ISERROR(IND_textiel_ele_kWh/1000),0,IND_textiel_ele_kWh/1000)</f>
        <v>4785.1970000000001</v>
      </c>
      <c r="C33" s="40">
        <f>IF(ISERROR(B33*3.6/1000000/'E Balans VL '!Z21*100),0,B33*3.6/1000000/'E Balans VL '!Z21*100)</f>
        <v>0.64631346512599452</v>
      </c>
      <c r="D33" s="240" t="s">
        <v>707</v>
      </c>
    </row>
    <row r="34" spans="1:5">
      <c r="A34" s="174" t="s">
        <v>37</v>
      </c>
      <c r="B34" s="38">
        <f>IF( ISERROR(IND_min_ele_kWh/1000),0,IND_min_ele_kWh/1000)</f>
        <v>514.95600000000002</v>
      </c>
      <c r="C34" s="40">
        <f>IF(ISERROR(B34*3.6/1000000/'E Balans VL '!Z22*100),0,B34*3.6/1000000/'E Balans VL '!Z22*100)</f>
        <v>0.103491634731388</v>
      </c>
      <c r="D34" s="240" t="s">
        <v>707</v>
      </c>
    </row>
    <row r="35" spans="1:5">
      <c r="A35" s="174" t="s">
        <v>39</v>
      </c>
      <c r="B35" s="38">
        <f>IF( ISERROR(IND_papier_ele_kWh/1000),0,IND_papier_ele_kWh/1000)</f>
        <v>1365.6020000000001</v>
      </c>
      <c r="C35" s="40">
        <f>IF(ISERROR(B35*3.6/1000000/'E Balans VL '!Z22*100),0,B35*3.6/1000000/'E Balans VL '!Z22*100)</f>
        <v>0.27444749332458102</v>
      </c>
      <c r="D35" s="240" t="s">
        <v>707</v>
      </c>
    </row>
    <row r="36" spans="1:5">
      <c r="A36" s="174" t="s">
        <v>34</v>
      </c>
      <c r="B36" s="38">
        <f>IF( ISERROR(IND_chemie_ele_kWh/1000),0,IND_chemie_ele_kWh/1000)</f>
        <v>426.108</v>
      </c>
      <c r="C36" s="40">
        <f>IF(ISERROR(B36*3.6/1000000/'E Balans VL '!Z24*100),0,B36*3.6/1000000/'E Balans VL '!Z24*100)</f>
        <v>1.0493004879256716E-2</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1872.4559999999999</v>
      </c>
      <c r="C5" s="18">
        <f>'Eigen informatie GS &amp; warmtenet'!B60</f>
        <v>0</v>
      </c>
      <c r="D5" s="31">
        <f>IF(ISERROR(SUM(LB_lb_gas_kWh,LB_rest_gas_kWh,onbekend_gas_kWh)/1000),0,SUM(LB_lb_gas_kWh,LB_rest_gas_kWh,onbekend_gas_kWh)/1000)*0.902</f>
        <v>12548.044687424694</v>
      </c>
      <c r="E5" s="18">
        <f>B17*'E Balans VL '!I25/3.6*1000000/100</f>
        <v>17.639790106674326</v>
      </c>
      <c r="F5" s="18">
        <f>B17*('E Balans VL '!L25/3.6*1000000+'E Balans VL '!N25/3.6*1000000)/100</f>
        <v>6110.4453415718326</v>
      </c>
      <c r="G5" s="19"/>
      <c r="H5" s="18"/>
      <c r="I5" s="18"/>
      <c r="J5" s="18">
        <f>('E Balans VL '!D25+'E Balans VL '!E25)/3.6*1000000*landbouw!B17/100</f>
        <v>231.63191482423451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1872.4559999999999</v>
      </c>
      <c r="C8" s="22">
        <f>C5+C6</f>
        <v>0</v>
      </c>
      <c r="D8" s="22">
        <f>MAX((D5+D6),0)</f>
        <v>12548.044687424694</v>
      </c>
      <c r="E8" s="22">
        <f>MAX((E5+E6),0)</f>
        <v>17.639790106674326</v>
      </c>
      <c r="F8" s="22">
        <f>MAX((F5+F6),0)</f>
        <v>6110.4453415718326</v>
      </c>
      <c r="G8" s="22"/>
      <c r="H8" s="22"/>
      <c r="I8" s="22"/>
      <c r="J8" s="22">
        <f>MAX((J5+J6),0)</f>
        <v>231.63191482423451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0.18454474051865855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345.55190665260528</v>
      </c>
      <c r="C12" s="24">
        <f ca="1">C8*C10</f>
        <v>0</v>
      </c>
      <c r="D12" s="24">
        <f>D8*D10</f>
        <v>2534.7050268597882</v>
      </c>
      <c r="E12" s="24">
        <f>E8*E10</f>
        <v>4.0042323542150724</v>
      </c>
      <c r="F12" s="24">
        <f>F8*F10</f>
        <v>1631.4889061996794</v>
      </c>
      <c r="G12" s="24"/>
      <c r="H12" s="24"/>
      <c r="I12" s="24"/>
      <c r="J12" s="24">
        <f>J8*J10</f>
        <v>81.997697847779008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0.25350062150960018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82.70464346605435</v>
      </c>
      <c r="C26" s="250">
        <f>B26*'GWP N2O_CH4'!B5</f>
        <v>1736.7975127871414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99.952068963515771</v>
      </c>
      <c r="C27" s="250">
        <f>B27*'GWP N2O_CH4'!B5</f>
        <v>2098.9934482338313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1.4669974602693441</v>
      </c>
      <c r="C28" s="250">
        <f>B28*'GWP N2O_CH4'!B4</f>
        <v>454.76921268349668</v>
      </c>
      <c r="D28" s="51"/>
    </row>
    <row r="29" spans="1:4">
      <c r="A29" s="42" t="s">
        <v>277</v>
      </c>
      <c r="B29" s="250">
        <f>B34*'ha_N2O bodem landbouw'!B4</f>
        <v>4.985889828142982</v>
      </c>
      <c r="C29" s="250">
        <f>B29*'GWP N2O_CH4'!B4</f>
        <v>1545.6258467243244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1.3460332964563887E-3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1.0308679053796239E-5</v>
      </c>
      <c r="C5" s="447" t="s">
        <v>211</v>
      </c>
      <c r="D5" s="432">
        <f>SUM(D6:D11)</f>
        <v>3.2103292924231692E-5</v>
      </c>
      <c r="E5" s="432">
        <f>SUM(E6:E11)</f>
        <v>1.9462757177337679E-3</v>
      </c>
      <c r="F5" s="445" t="s">
        <v>211</v>
      </c>
      <c r="G5" s="432">
        <f>SUM(G6:G11)</f>
        <v>0.44796162247818155</v>
      </c>
      <c r="H5" s="432">
        <f>SUM(H6:H11)</f>
        <v>7.1727419367404358E-2</v>
      </c>
      <c r="I5" s="447" t="s">
        <v>211</v>
      </c>
      <c r="J5" s="447" t="s">
        <v>211</v>
      </c>
      <c r="K5" s="447" t="s">
        <v>211</v>
      </c>
      <c r="L5" s="447" t="s">
        <v>211</v>
      </c>
      <c r="M5" s="432">
        <f>SUM(M6:M11)</f>
        <v>2.3228960182854488E-2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3.7623248887447974E-6</v>
      </c>
      <c r="C6" s="433"/>
      <c r="D6" s="433">
        <f>vkm_2011_GW_PW*SUMIFS(TableVerdeelsleutelVkm[CNG],TableVerdeelsleutelVkm[Voertuigtype],"Lichte voertuigen")*SUMIFS(TableECFTransport[EnergieConsumptieFactor (PJ per km)],TableECFTransport[Index],CONCATENATE($A6,"_CNG_CNG"))</f>
        <v>9.1876603863701985E-6</v>
      </c>
      <c r="E6" s="435">
        <f>vkm_2011_GW_PW*SUMIFS(TableVerdeelsleutelVkm[LPG],TableVerdeelsleutelVkm[Voertuigtype],"Lichte voertuigen")*SUMIFS(TableECFTransport[EnergieConsumptieFactor (PJ per km)],TableECFTransport[Index],CONCATENATE($A6,"_LPG_LPG"))</f>
        <v>5.4459702715203004E-4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7.8727906629095568E-2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2.0632322516626184E-2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4.449534044230481E-3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6.2589578191399362E-2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2.5252454637681738E-5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2.788346343346943E-3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3.4361607063759681E-6</v>
      </c>
      <c r="C8" s="433"/>
      <c r="D8" s="435">
        <f>vkm_2011_NGW_PW*SUMIFS(TableVerdeelsleutelVkm[CNG],TableVerdeelsleutelVkm[Voertuigtype],"Lichte voertuigen")*SUMIFS(TableECFTransport[EnergieConsumptieFactor (PJ per km)],TableECFTransport[Index],CONCATENATE($A8,"_CNG_CNG"))</f>
        <v>1.5055170278958084E-5</v>
      </c>
      <c r="E8" s="435">
        <f>vkm_2011_NGW_PW*SUMIFS(TableVerdeelsleutelVkm[LPG],TableVerdeelsleutelVkm[Voertuigtype],"Lichte voertuigen")*SUMIFS(TableECFTransport[EnergieConsumptieFactor (PJ per km)],TableECFTransport[Index],CONCATENATE($A8,"_LPG_LPG"))</f>
        <v>8.1868080461980396E-4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0.11180340890383575</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3.2375143792624565E-2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6.4595212628727749E-3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5.0593392328000579E-2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1.7773040218140911E-5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2.2537992526527975E-3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3.1101934586754733E-6</v>
      </c>
      <c r="C10" s="433"/>
      <c r="D10" s="435">
        <f>vkm_2011_SW_PW*SUMIFS(TableVerdeelsleutelVkm[CNG],TableVerdeelsleutelVkm[Voertuigtype],"Lichte voertuigen")*SUMIFS(TableECFTransport[EnergieConsumptieFactor (PJ per km)],TableECFTransport[Index],CONCATENATE($A10,"_CNG_CNG"))</f>
        <v>7.8604622589034077E-6</v>
      </c>
      <c r="E10" s="435">
        <f>vkm_2011_SW_PW*SUMIFS(TableVerdeelsleutelVkm[LPG],TableVerdeelsleutelVkm[Voertuigtype],"Lichte voertuigen")*SUMIFS(TableECFTransport[EnergieConsumptieFactor (PJ per km)],TableECFTransport[Index],CONCATENATE($A10,"_LPG_LPG"))</f>
        <v>5.8299788596193384E-4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7.6806710748838297E-2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1.8648059509420615E-2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4.2732244202050738E-3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6.7440625677011978E-2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2.8868053877168269E-5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3.0045348595464177E-3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2.8635219593878443</v>
      </c>
      <c r="C14" s="22"/>
      <c r="D14" s="22">
        <f t="shared" ref="D14:M14" si="0">((D5)*10^9/3600)+D12</f>
        <v>8.9175813678421374</v>
      </c>
      <c r="E14" s="22">
        <f t="shared" si="0"/>
        <v>540.6321438149356</v>
      </c>
      <c r="F14" s="22"/>
      <c r="G14" s="22">
        <f t="shared" si="0"/>
        <v>124433.78402171709</v>
      </c>
      <c r="H14" s="22">
        <f t="shared" si="0"/>
        <v>19924.283157612321</v>
      </c>
      <c r="I14" s="22"/>
      <c r="J14" s="22"/>
      <c r="K14" s="22"/>
      <c r="L14" s="22"/>
      <c r="M14" s="22">
        <f t="shared" si="0"/>
        <v>6452.4889396818025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0.18454474051865855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0.52844791696471038</v>
      </c>
      <c r="C18" s="24"/>
      <c r="D18" s="24">
        <f t="shared" ref="D18:M18" si="1">D14*D16</f>
        <v>1.8013514363041119</v>
      </c>
      <c r="E18" s="24">
        <f t="shared" si="1"/>
        <v>122.72349664599038</v>
      </c>
      <c r="F18" s="24"/>
      <c r="G18" s="24">
        <f t="shared" si="1"/>
        <v>33223.820333798467</v>
      </c>
      <c r="H18" s="24">
        <f t="shared" si="1"/>
        <v>4961.1465062454681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2.5249966832414849E-3</v>
      </c>
      <c r="H50" s="323">
        <f t="shared" si="2"/>
        <v>0</v>
      </c>
      <c r="I50" s="323">
        <f t="shared" si="2"/>
        <v>0</v>
      </c>
      <c r="J50" s="323">
        <f t="shared" si="2"/>
        <v>0</v>
      </c>
      <c r="K50" s="323">
        <f t="shared" si="2"/>
        <v>0</v>
      </c>
      <c r="L50" s="323">
        <f t="shared" si="2"/>
        <v>0</v>
      </c>
      <c r="M50" s="323">
        <f t="shared" si="2"/>
        <v>1.1087676960370309E-4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2.5249966832414849E-3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1.1087676960370309E-4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701.38796756707916</v>
      </c>
      <c r="H54" s="22">
        <f t="shared" si="3"/>
        <v>0</v>
      </c>
      <c r="I54" s="22">
        <f t="shared" si="3"/>
        <v>0</v>
      </c>
      <c r="J54" s="22">
        <f t="shared" si="3"/>
        <v>0</v>
      </c>
      <c r="K54" s="22">
        <f t="shared" si="3"/>
        <v>0</v>
      </c>
      <c r="L54" s="22">
        <f t="shared" si="3"/>
        <v>0</v>
      </c>
      <c r="M54" s="22">
        <f t="shared" si="3"/>
        <v>30.799102667695301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0.18454474051865855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187.27058734041015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20858.891829308628</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5976.3432531818007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26835.235082490428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35231.383000000002</v>
      </c>
      <c r="D10" s="703">
        <f ca="1">tertiair!C16</f>
        <v>0</v>
      </c>
      <c r="E10" s="703">
        <f ca="1">tertiair!D16</f>
        <v>39607.861273098461</v>
      </c>
      <c r="F10" s="703">
        <f>tertiair!E16</f>
        <v>257.72250204812627</v>
      </c>
      <c r="G10" s="703">
        <f ca="1">tertiair!F16</f>
        <v>7248.0599484329277</v>
      </c>
      <c r="H10" s="703">
        <f>tertiair!G16</f>
        <v>0</v>
      </c>
      <c r="I10" s="703">
        <f>tertiair!H16</f>
        <v>0</v>
      </c>
      <c r="J10" s="703">
        <f>tertiair!I16</f>
        <v>0</v>
      </c>
      <c r="K10" s="703">
        <f>tertiair!J16</f>
        <v>0</v>
      </c>
      <c r="L10" s="703">
        <f>tertiair!K16</f>
        <v>0</v>
      </c>
      <c r="M10" s="703">
        <f ca="1">tertiair!L16</f>
        <v>0</v>
      </c>
      <c r="N10" s="703">
        <f>tertiair!M16</f>
        <v>0</v>
      </c>
      <c r="O10" s="703">
        <f ca="1">tertiair!N16</f>
        <v>1450.8220090765706</v>
      </c>
      <c r="P10" s="703">
        <f>tertiair!O16</f>
        <v>4.6900000000000004</v>
      </c>
      <c r="Q10" s="704">
        <f>tertiair!P16</f>
        <v>57.2</v>
      </c>
      <c r="R10" s="706">
        <f ca="1">SUM(C10:Q10)</f>
        <v>83857.738732656086</v>
      </c>
      <c r="S10" s="68"/>
    </row>
    <row r="11" spans="1:19" s="458" customFormat="1">
      <c r="A11" s="859" t="s">
        <v>225</v>
      </c>
      <c r="B11" s="864"/>
      <c r="C11" s="703">
        <f>huishoudens!B8</f>
        <v>45582.536216431195</v>
      </c>
      <c r="D11" s="703">
        <f>huishoudens!C8</f>
        <v>0</v>
      </c>
      <c r="E11" s="703">
        <f>huishoudens!D8</f>
        <v>135028.6051202518</v>
      </c>
      <c r="F11" s="703">
        <f>huishoudens!E8</f>
        <v>6468.0691457123812</v>
      </c>
      <c r="G11" s="703">
        <f>huishoudens!F8</f>
        <v>9601.4797184794788</v>
      </c>
      <c r="H11" s="703">
        <f>huishoudens!G8</f>
        <v>0</v>
      </c>
      <c r="I11" s="703">
        <f>huishoudens!H8</f>
        <v>0</v>
      </c>
      <c r="J11" s="703">
        <f>huishoudens!I8</f>
        <v>0</v>
      </c>
      <c r="K11" s="703">
        <f>huishoudens!J8</f>
        <v>0</v>
      </c>
      <c r="L11" s="703">
        <f>huishoudens!K8</f>
        <v>0</v>
      </c>
      <c r="M11" s="703">
        <f>huishoudens!L8</f>
        <v>0</v>
      </c>
      <c r="N11" s="703">
        <f>huishoudens!M8</f>
        <v>0</v>
      </c>
      <c r="O11" s="703">
        <f>huishoudens!N8</f>
        <v>30088.714538454453</v>
      </c>
      <c r="P11" s="703">
        <f>huishoudens!O8</f>
        <v>139.13666666666668</v>
      </c>
      <c r="Q11" s="704">
        <f>huishoudens!P8</f>
        <v>114.4</v>
      </c>
      <c r="R11" s="706">
        <f>SUM(C11:Q11)</f>
        <v>227022.94140599598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79992.00499999999</v>
      </c>
      <c r="D13" s="703">
        <f>industrie!C18</f>
        <v>0</v>
      </c>
      <c r="E13" s="703">
        <f>industrie!D18</f>
        <v>58333.387757673539</v>
      </c>
      <c r="F13" s="703">
        <f>industrie!E18</f>
        <v>705.54275649563795</v>
      </c>
      <c r="G13" s="703">
        <f>industrie!F18</f>
        <v>20580.653733048424</v>
      </c>
      <c r="H13" s="703">
        <f>industrie!G18</f>
        <v>0</v>
      </c>
      <c r="I13" s="703">
        <f>industrie!H18</f>
        <v>0</v>
      </c>
      <c r="J13" s="703">
        <f>industrie!I18</f>
        <v>0</v>
      </c>
      <c r="K13" s="703">
        <f>industrie!J18</f>
        <v>259.63530529322162</v>
      </c>
      <c r="L13" s="703">
        <f>industrie!K18</f>
        <v>0</v>
      </c>
      <c r="M13" s="703">
        <f>industrie!L18</f>
        <v>0</v>
      </c>
      <c r="N13" s="703">
        <f>industrie!M18</f>
        <v>0</v>
      </c>
      <c r="O13" s="703">
        <f>industrie!N18</f>
        <v>2489.2295684227233</v>
      </c>
      <c r="P13" s="703">
        <f>industrie!O18</f>
        <v>0</v>
      </c>
      <c r="Q13" s="704">
        <f>industrie!P18</f>
        <v>0</v>
      </c>
      <c r="R13" s="706">
        <f>SUM(C13:Q13)</f>
        <v>162360.45412093351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160805.92421643119</v>
      </c>
      <c r="D15" s="708">
        <f t="shared" ref="D15:Q15" ca="1" si="0">SUM(D9:D14)</f>
        <v>0</v>
      </c>
      <c r="E15" s="708">
        <f t="shared" ca="1" si="0"/>
        <v>232969.85415102381</v>
      </c>
      <c r="F15" s="708">
        <f t="shared" si="0"/>
        <v>7431.3344042561457</v>
      </c>
      <c r="G15" s="708">
        <f t="shared" ca="1" si="0"/>
        <v>37430.19339996083</v>
      </c>
      <c r="H15" s="708">
        <f t="shared" si="0"/>
        <v>0</v>
      </c>
      <c r="I15" s="708">
        <f t="shared" si="0"/>
        <v>0</v>
      </c>
      <c r="J15" s="708">
        <f t="shared" si="0"/>
        <v>0</v>
      </c>
      <c r="K15" s="708">
        <f t="shared" si="0"/>
        <v>259.63530529322162</v>
      </c>
      <c r="L15" s="708">
        <f t="shared" si="0"/>
        <v>0</v>
      </c>
      <c r="M15" s="708">
        <f t="shared" ca="1" si="0"/>
        <v>0</v>
      </c>
      <c r="N15" s="708">
        <f t="shared" si="0"/>
        <v>0</v>
      </c>
      <c r="O15" s="708">
        <f t="shared" ca="1" si="0"/>
        <v>34028.766115953746</v>
      </c>
      <c r="P15" s="708">
        <f t="shared" si="0"/>
        <v>143.82666666666668</v>
      </c>
      <c r="Q15" s="709">
        <f t="shared" si="0"/>
        <v>171.60000000000002</v>
      </c>
      <c r="R15" s="710">
        <f ca="1">SUM(R9:R14)</f>
        <v>473241.13425958564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701.38796756707916</v>
      </c>
      <c r="I18" s="703">
        <f>transport!H54</f>
        <v>0</v>
      </c>
      <c r="J18" s="703">
        <f>transport!I54</f>
        <v>0</v>
      </c>
      <c r="K18" s="703">
        <f>transport!J54</f>
        <v>0</v>
      </c>
      <c r="L18" s="703">
        <f>transport!K54</f>
        <v>0</v>
      </c>
      <c r="M18" s="703">
        <f>transport!L54</f>
        <v>0</v>
      </c>
      <c r="N18" s="703">
        <f>transport!M54</f>
        <v>30.799102667695301</v>
      </c>
      <c r="O18" s="703">
        <f>transport!N54</f>
        <v>0</v>
      </c>
      <c r="P18" s="703">
        <f>transport!O54</f>
        <v>0</v>
      </c>
      <c r="Q18" s="704">
        <f>transport!P54</f>
        <v>0</v>
      </c>
      <c r="R18" s="706">
        <f>SUM(C18:Q18)</f>
        <v>732.18707023477441</v>
      </c>
      <c r="S18" s="68"/>
    </row>
    <row r="19" spans="1:19" s="458" customFormat="1" ht="15" thickBot="1">
      <c r="A19" s="859" t="s">
        <v>307</v>
      </c>
      <c r="B19" s="864"/>
      <c r="C19" s="712">
        <f>transport!B14</f>
        <v>2.8635219593878443</v>
      </c>
      <c r="D19" s="712">
        <f>transport!C14</f>
        <v>0</v>
      </c>
      <c r="E19" s="712">
        <f>transport!D14</f>
        <v>8.9175813678421374</v>
      </c>
      <c r="F19" s="712">
        <f>transport!E14</f>
        <v>540.6321438149356</v>
      </c>
      <c r="G19" s="712">
        <f>transport!F14</f>
        <v>0</v>
      </c>
      <c r="H19" s="712">
        <f>transport!G14</f>
        <v>124433.78402171709</v>
      </c>
      <c r="I19" s="712">
        <f>transport!H14</f>
        <v>19924.283157612321</v>
      </c>
      <c r="J19" s="712">
        <f>transport!I14</f>
        <v>0</v>
      </c>
      <c r="K19" s="712">
        <f>transport!J14</f>
        <v>0</v>
      </c>
      <c r="L19" s="712">
        <f>transport!K14</f>
        <v>0</v>
      </c>
      <c r="M19" s="712">
        <f>transport!L14</f>
        <v>0</v>
      </c>
      <c r="N19" s="712">
        <f>transport!M14</f>
        <v>6452.4889396818025</v>
      </c>
      <c r="O19" s="712">
        <f>transport!N14</f>
        <v>0</v>
      </c>
      <c r="P19" s="712">
        <f>transport!O14</f>
        <v>0</v>
      </c>
      <c r="Q19" s="713">
        <f>transport!P14</f>
        <v>0</v>
      </c>
      <c r="R19" s="714">
        <f>SUM(C19:Q19)</f>
        <v>151362.96936615335</v>
      </c>
      <c r="S19" s="68"/>
    </row>
    <row r="20" spans="1:19" s="458" customFormat="1" ht="15.75" thickBot="1">
      <c r="A20" s="715" t="s">
        <v>230</v>
      </c>
      <c r="B20" s="867"/>
      <c r="C20" s="862">
        <f>SUM(C17:C19)</f>
        <v>2.8635219593878443</v>
      </c>
      <c r="D20" s="716">
        <f t="shared" ref="D20:R20" si="1">SUM(D17:D19)</f>
        <v>0</v>
      </c>
      <c r="E20" s="716">
        <f t="shared" si="1"/>
        <v>8.9175813678421374</v>
      </c>
      <c r="F20" s="716">
        <f t="shared" si="1"/>
        <v>540.6321438149356</v>
      </c>
      <c r="G20" s="716">
        <f t="shared" si="1"/>
        <v>0</v>
      </c>
      <c r="H20" s="716">
        <f t="shared" si="1"/>
        <v>125135.17198928416</v>
      </c>
      <c r="I20" s="716">
        <f t="shared" si="1"/>
        <v>19924.283157612321</v>
      </c>
      <c r="J20" s="716">
        <f t="shared" si="1"/>
        <v>0</v>
      </c>
      <c r="K20" s="716">
        <f t="shared" si="1"/>
        <v>0</v>
      </c>
      <c r="L20" s="716">
        <f t="shared" si="1"/>
        <v>0</v>
      </c>
      <c r="M20" s="716">
        <f t="shared" si="1"/>
        <v>0</v>
      </c>
      <c r="N20" s="716">
        <f t="shared" si="1"/>
        <v>6483.288042349498</v>
      </c>
      <c r="O20" s="716">
        <f t="shared" si="1"/>
        <v>0</v>
      </c>
      <c r="P20" s="716">
        <f t="shared" si="1"/>
        <v>0</v>
      </c>
      <c r="Q20" s="717">
        <f t="shared" si="1"/>
        <v>0</v>
      </c>
      <c r="R20" s="718">
        <f t="shared" si="1"/>
        <v>152095.15643638812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1872.4559999999999</v>
      </c>
      <c r="D22" s="712">
        <f>+landbouw!C8</f>
        <v>0</v>
      </c>
      <c r="E22" s="712">
        <f>+landbouw!D8</f>
        <v>12548.044687424694</v>
      </c>
      <c r="F22" s="712">
        <f>+landbouw!E8</f>
        <v>17.639790106674326</v>
      </c>
      <c r="G22" s="712">
        <f>+landbouw!F8</f>
        <v>6110.4453415718326</v>
      </c>
      <c r="H22" s="712">
        <f>+landbouw!G8</f>
        <v>0</v>
      </c>
      <c r="I22" s="712">
        <f>+landbouw!H8</f>
        <v>0</v>
      </c>
      <c r="J22" s="712">
        <f>+landbouw!I8</f>
        <v>0</v>
      </c>
      <c r="K22" s="712">
        <f>+landbouw!J8</f>
        <v>231.63191482423451</v>
      </c>
      <c r="L22" s="712">
        <f>+landbouw!K8</f>
        <v>0</v>
      </c>
      <c r="M22" s="712">
        <f>+landbouw!L8</f>
        <v>0</v>
      </c>
      <c r="N22" s="712">
        <f>+landbouw!M8</f>
        <v>0</v>
      </c>
      <c r="O22" s="712">
        <f>+landbouw!N8</f>
        <v>0</v>
      </c>
      <c r="P22" s="712">
        <f>+landbouw!O8</f>
        <v>0</v>
      </c>
      <c r="Q22" s="713">
        <f>+landbouw!P8</f>
        <v>0</v>
      </c>
      <c r="R22" s="714">
        <f>SUM(C22:Q22)</f>
        <v>20780.217733927435</v>
      </c>
      <c r="S22" s="68"/>
    </row>
    <row r="23" spans="1:19" s="458" customFormat="1" ht="17.25" thickTop="1" thickBot="1">
      <c r="A23" s="719" t="s">
        <v>116</v>
      </c>
      <c r="B23" s="853"/>
      <c r="C23" s="720">
        <f ca="1">C20+C15+C22</f>
        <v>162681.24373839059</v>
      </c>
      <c r="D23" s="720">
        <f t="shared" ref="D23:Q23" ca="1" si="2">D20+D15+D22</f>
        <v>0</v>
      </c>
      <c r="E23" s="720">
        <f t="shared" ca="1" si="2"/>
        <v>245526.81641981634</v>
      </c>
      <c r="F23" s="720">
        <f t="shared" si="2"/>
        <v>7989.6063381777549</v>
      </c>
      <c r="G23" s="720">
        <f t="shared" ca="1" si="2"/>
        <v>43540.638741532661</v>
      </c>
      <c r="H23" s="720">
        <f t="shared" si="2"/>
        <v>125135.17198928416</v>
      </c>
      <c r="I23" s="720">
        <f t="shared" si="2"/>
        <v>19924.283157612321</v>
      </c>
      <c r="J23" s="720">
        <f t="shared" si="2"/>
        <v>0</v>
      </c>
      <c r="K23" s="720">
        <f t="shared" si="2"/>
        <v>491.26722011745613</v>
      </c>
      <c r="L23" s="720">
        <f t="shared" si="2"/>
        <v>0</v>
      </c>
      <c r="M23" s="720">
        <f t="shared" ca="1" si="2"/>
        <v>0</v>
      </c>
      <c r="N23" s="720">
        <f t="shared" si="2"/>
        <v>6483.288042349498</v>
      </c>
      <c r="O23" s="720">
        <f t="shared" ca="1" si="2"/>
        <v>34028.766115953746</v>
      </c>
      <c r="P23" s="720">
        <f t="shared" si="2"/>
        <v>143.82666666666668</v>
      </c>
      <c r="Q23" s="721">
        <f t="shared" si="2"/>
        <v>171.60000000000002</v>
      </c>
      <c r="R23" s="722">
        <f ca="1">R20+R15+R22</f>
        <v>646116.50842990121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6501.7664338484774</v>
      </c>
      <c r="D36" s="703">
        <f ca="1">tertiair!C20</f>
        <v>0</v>
      </c>
      <c r="E36" s="703">
        <f ca="1">tertiair!D20</f>
        <v>8000.78797716589</v>
      </c>
      <c r="F36" s="703">
        <f>tertiair!E20</f>
        <v>58.503007964924663</v>
      </c>
      <c r="G36" s="703">
        <f ca="1">tertiair!F20</f>
        <v>1935.2320062315919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16496.289425210882</v>
      </c>
    </row>
    <row r="37" spans="1:18">
      <c r="A37" s="874" t="s">
        <v>225</v>
      </c>
      <c r="B37" s="881"/>
      <c r="C37" s="703">
        <f ca="1">huishoudens!B12</f>
        <v>8412.0173182436502</v>
      </c>
      <c r="D37" s="703">
        <f ca="1">huishoudens!C12</f>
        <v>0</v>
      </c>
      <c r="E37" s="703">
        <f>huishoudens!D12</f>
        <v>27275.778234290865</v>
      </c>
      <c r="F37" s="703">
        <f>huishoudens!E12</f>
        <v>1468.2516960767107</v>
      </c>
      <c r="G37" s="703">
        <f>huishoudens!F12</f>
        <v>2563.5950848340208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39719.642333445248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14762.103806292234</v>
      </c>
      <c r="D39" s="703">
        <f ca="1">industrie!C22</f>
        <v>0</v>
      </c>
      <c r="E39" s="703">
        <f>industrie!D22</f>
        <v>11783.344327050056</v>
      </c>
      <c r="F39" s="703">
        <f>industrie!E22</f>
        <v>160.15820572450983</v>
      </c>
      <c r="G39" s="703">
        <f>industrie!F22</f>
        <v>5495.0345467239295</v>
      </c>
      <c r="H39" s="703">
        <f>industrie!G22</f>
        <v>0</v>
      </c>
      <c r="I39" s="703">
        <f>industrie!H22</f>
        <v>0</v>
      </c>
      <c r="J39" s="703">
        <f>industrie!I22</f>
        <v>0</v>
      </c>
      <c r="K39" s="703">
        <f>industrie!J22</f>
        <v>91.910898073800453</v>
      </c>
      <c r="L39" s="703">
        <f>industrie!K22</f>
        <v>0</v>
      </c>
      <c r="M39" s="703">
        <f>industrie!L22</f>
        <v>0</v>
      </c>
      <c r="N39" s="703">
        <f>industrie!M22</f>
        <v>0</v>
      </c>
      <c r="O39" s="703">
        <f>industrie!N22</f>
        <v>0</v>
      </c>
      <c r="P39" s="703">
        <f>industrie!O22</f>
        <v>0</v>
      </c>
      <c r="Q39" s="813">
        <f>industrie!P22</f>
        <v>0</v>
      </c>
      <c r="R39" s="907">
        <f ca="1">SUM(C39:Q39)</f>
        <v>32292.551783864532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29675.887558384362</v>
      </c>
      <c r="D41" s="748">
        <f t="shared" ref="D41:R41" ca="1" si="4">SUM(D35:D40)</f>
        <v>0</v>
      </c>
      <c r="E41" s="748">
        <f t="shared" ca="1" si="4"/>
        <v>47059.910538506811</v>
      </c>
      <c r="F41" s="748">
        <f t="shared" si="4"/>
        <v>1686.912909766145</v>
      </c>
      <c r="G41" s="748">
        <f t="shared" ca="1" si="4"/>
        <v>9993.8616377895414</v>
      </c>
      <c r="H41" s="748">
        <f t="shared" si="4"/>
        <v>0</v>
      </c>
      <c r="I41" s="748">
        <f t="shared" si="4"/>
        <v>0</v>
      </c>
      <c r="J41" s="748">
        <f t="shared" si="4"/>
        <v>0</v>
      </c>
      <c r="K41" s="748">
        <f t="shared" si="4"/>
        <v>91.910898073800453</v>
      </c>
      <c r="L41" s="748">
        <f t="shared" si="4"/>
        <v>0</v>
      </c>
      <c r="M41" s="748">
        <f t="shared" ca="1" si="4"/>
        <v>0</v>
      </c>
      <c r="N41" s="748">
        <f t="shared" si="4"/>
        <v>0</v>
      </c>
      <c r="O41" s="748">
        <f t="shared" ca="1" si="4"/>
        <v>0</v>
      </c>
      <c r="P41" s="748">
        <f t="shared" si="4"/>
        <v>0</v>
      </c>
      <c r="Q41" s="749">
        <f t="shared" si="4"/>
        <v>0</v>
      </c>
      <c r="R41" s="750">
        <f t="shared" ca="1" si="4"/>
        <v>88508.483542520669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187.27058734041015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187.27058734041015</v>
      </c>
    </row>
    <row r="45" spans="1:18" ht="15" thickBot="1">
      <c r="A45" s="877" t="s">
        <v>307</v>
      </c>
      <c r="B45" s="887"/>
      <c r="C45" s="712">
        <f ca="1">transport!B18</f>
        <v>0.52844791696471038</v>
      </c>
      <c r="D45" s="712">
        <f>transport!C18</f>
        <v>0</v>
      </c>
      <c r="E45" s="712">
        <f>transport!D18</f>
        <v>1.8013514363041119</v>
      </c>
      <c r="F45" s="712">
        <f>transport!E18</f>
        <v>122.72349664599038</v>
      </c>
      <c r="G45" s="712">
        <f>transport!F18</f>
        <v>0</v>
      </c>
      <c r="H45" s="712">
        <f>transport!G18</f>
        <v>33223.820333798467</v>
      </c>
      <c r="I45" s="712">
        <f>transport!H18</f>
        <v>4961.1465062454681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38310.020136043189</v>
      </c>
    </row>
    <row r="46" spans="1:18" ht="15.75" thickBot="1">
      <c r="A46" s="875" t="s">
        <v>230</v>
      </c>
      <c r="B46" s="888"/>
      <c r="C46" s="748">
        <f t="shared" ref="C46:R46" ca="1" si="5">SUM(C43:C45)</f>
        <v>0.52844791696471038</v>
      </c>
      <c r="D46" s="748">
        <f t="shared" ca="1" si="5"/>
        <v>0</v>
      </c>
      <c r="E46" s="748">
        <f t="shared" si="5"/>
        <v>1.8013514363041119</v>
      </c>
      <c r="F46" s="748">
        <f t="shared" si="5"/>
        <v>122.72349664599038</v>
      </c>
      <c r="G46" s="748">
        <f t="shared" si="5"/>
        <v>0</v>
      </c>
      <c r="H46" s="748">
        <f t="shared" si="5"/>
        <v>33411.090921138879</v>
      </c>
      <c r="I46" s="748">
        <f t="shared" si="5"/>
        <v>4961.1465062454681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38497.290723383601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345.55190665260528</v>
      </c>
      <c r="D48" s="703">
        <f ca="1">+landbouw!C12</f>
        <v>0</v>
      </c>
      <c r="E48" s="703">
        <f>+landbouw!D12</f>
        <v>2534.7050268597882</v>
      </c>
      <c r="F48" s="703">
        <f>+landbouw!E12</f>
        <v>4.0042323542150724</v>
      </c>
      <c r="G48" s="703">
        <f>+landbouw!F12</f>
        <v>1631.4889061996794</v>
      </c>
      <c r="H48" s="703">
        <f>+landbouw!G12</f>
        <v>0</v>
      </c>
      <c r="I48" s="703">
        <f>+landbouw!H12</f>
        <v>0</v>
      </c>
      <c r="J48" s="703">
        <f>+landbouw!I12</f>
        <v>0</v>
      </c>
      <c r="K48" s="703">
        <f>+landbouw!J12</f>
        <v>81.997697847779008</v>
      </c>
      <c r="L48" s="703">
        <f>+landbouw!K12</f>
        <v>0</v>
      </c>
      <c r="M48" s="703">
        <f>+landbouw!L12</f>
        <v>0</v>
      </c>
      <c r="N48" s="703">
        <f>+landbouw!M12</f>
        <v>0</v>
      </c>
      <c r="O48" s="703">
        <f>+landbouw!N12</f>
        <v>0</v>
      </c>
      <c r="P48" s="703">
        <f>+landbouw!O12</f>
        <v>0</v>
      </c>
      <c r="Q48" s="704">
        <f>+landbouw!P12</f>
        <v>0</v>
      </c>
      <c r="R48" s="746">
        <f ca="1">SUM(C48:Q48)</f>
        <v>4597.7477699140672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30021.967912953933</v>
      </c>
      <c r="D53" s="758">
        <f t="shared" ref="D53:Q53" ca="1" si="6">D41+D46+D48</f>
        <v>0</v>
      </c>
      <c r="E53" s="758">
        <f t="shared" ca="1" si="6"/>
        <v>49596.416916802904</v>
      </c>
      <c r="F53" s="758">
        <f t="shared" si="6"/>
        <v>1813.6406387663503</v>
      </c>
      <c r="G53" s="758">
        <f t="shared" ca="1" si="6"/>
        <v>11625.350543989221</v>
      </c>
      <c r="H53" s="758">
        <f t="shared" si="6"/>
        <v>33411.090921138879</v>
      </c>
      <c r="I53" s="758">
        <f t="shared" si="6"/>
        <v>4961.1465062454681</v>
      </c>
      <c r="J53" s="758">
        <f t="shared" si="6"/>
        <v>0</v>
      </c>
      <c r="K53" s="758">
        <f t="shared" si="6"/>
        <v>173.90859592157946</v>
      </c>
      <c r="L53" s="758">
        <f t="shared" si="6"/>
        <v>0</v>
      </c>
      <c r="M53" s="758">
        <f t="shared" ca="1" si="6"/>
        <v>0</v>
      </c>
      <c r="N53" s="758">
        <f t="shared" si="6"/>
        <v>0</v>
      </c>
      <c r="O53" s="758">
        <f t="shared" ca="1" si="6"/>
        <v>0</v>
      </c>
      <c r="P53" s="758">
        <f>P41+P46+P48</f>
        <v>0</v>
      </c>
      <c r="Q53" s="759">
        <f t="shared" si="6"/>
        <v>0</v>
      </c>
      <c r="R53" s="760">
        <f ca="1">R41+R46+R48</f>
        <v>131603.52203581834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0.18454474051865852</v>
      </c>
      <c r="D55" s="824">
        <f t="shared" ca="1" si="7"/>
        <v>0</v>
      </c>
      <c r="E55" s="824">
        <f t="shared" ca="1" si="7"/>
        <v>0.20200000000000001</v>
      </c>
      <c r="F55" s="824">
        <f t="shared" si="7"/>
        <v>0.22700000000000001</v>
      </c>
      <c r="G55" s="824">
        <f t="shared" ca="1" si="7"/>
        <v>0.26700000000000002</v>
      </c>
      <c r="H55" s="824">
        <f t="shared" si="7"/>
        <v>0.26700000000000007</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20858.891829308628</v>
      </c>
      <c r="C64" s="780">
        <f>'lokale energieproductie'!B4</f>
        <v>20858.891829308628</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5976.3432531818007</v>
      </c>
      <c r="C66" s="780">
        <f>'lokale energieproductie'!B6</f>
        <v>5976.3432531818007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26835.235082490428</v>
      </c>
      <c r="C69" s="788">
        <f>SUM(C64:C68)</f>
        <v>26835.235082490428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45582.536216431195</v>
      </c>
      <c r="C4" s="462">
        <f>huishoudens!C8</f>
        <v>0</v>
      </c>
      <c r="D4" s="462">
        <f>huishoudens!D8</f>
        <v>135028.6051202518</v>
      </c>
      <c r="E4" s="462">
        <f>huishoudens!E8</f>
        <v>6468.0691457123812</v>
      </c>
      <c r="F4" s="462">
        <f>huishoudens!F8</f>
        <v>9601.4797184794788</v>
      </c>
      <c r="G4" s="462">
        <f>huishoudens!G8</f>
        <v>0</v>
      </c>
      <c r="H4" s="462">
        <f>huishoudens!H8</f>
        <v>0</v>
      </c>
      <c r="I4" s="462">
        <f>huishoudens!I8</f>
        <v>0</v>
      </c>
      <c r="J4" s="462">
        <f>huishoudens!J8</f>
        <v>0</v>
      </c>
      <c r="K4" s="462">
        <f>huishoudens!K8</f>
        <v>0</v>
      </c>
      <c r="L4" s="462">
        <f>huishoudens!L8</f>
        <v>0</v>
      </c>
      <c r="M4" s="462">
        <f>huishoudens!M8</f>
        <v>0</v>
      </c>
      <c r="N4" s="462">
        <f>huishoudens!N8</f>
        <v>30088.714538454453</v>
      </c>
      <c r="O4" s="462">
        <f>huishoudens!O8</f>
        <v>139.13666666666668</v>
      </c>
      <c r="P4" s="463">
        <f>huishoudens!P8</f>
        <v>114.4</v>
      </c>
      <c r="Q4" s="464">
        <f>SUM(B4:P4)</f>
        <v>227022.94140599598</v>
      </c>
    </row>
    <row r="5" spans="1:17">
      <c r="A5" s="461" t="s">
        <v>156</v>
      </c>
      <c r="B5" s="462">
        <f ca="1">tertiair!B16</f>
        <v>32918.796999999999</v>
      </c>
      <c r="C5" s="462">
        <f ca="1">tertiair!C16</f>
        <v>0</v>
      </c>
      <c r="D5" s="462">
        <f ca="1">tertiair!D16</f>
        <v>39607.861273098461</v>
      </c>
      <c r="E5" s="462">
        <f>tertiair!E16</f>
        <v>257.72250204812627</v>
      </c>
      <c r="F5" s="462">
        <f ca="1">tertiair!F16</f>
        <v>7248.0599484329277</v>
      </c>
      <c r="G5" s="462">
        <f>tertiair!G16</f>
        <v>0</v>
      </c>
      <c r="H5" s="462">
        <f>tertiair!H16</f>
        <v>0</v>
      </c>
      <c r="I5" s="462">
        <f>tertiair!I16</f>
        <v>0</v>
      </c>
      <c r="J5" s="462">
        <f>tertiair!J16</f>
        <v>0</v>
      </c>
      <c r="K5" s="462">
        <f>tertiair!K16</f>
        <v>0</v>
      </c>
      <c r="L5" s="462">
        <f ca="1">tertiair!L16</f>
        <v>0</v>
      </c>
      <c r="M5" s="462">
        <f>tertiair!M16</f>
        <v>0</v>
      </c>
      <c r="N5" s="462">
        <f ca="1">tertiair!N16</f>
        <v>1450.8220090765706</v>
      </c>
      <c r="O5" s="462">
        <f>tertiair!O16</f>
        <v>4.6900000000000004</v>
      </c>
      <c r="P5" s="463">
        <f>tertiair!P16</f>
        <v>57.2</v>
      </c>
      <c r="Q5" s="461">
        <f t="shared" ref="Q5:Q13" ca="1" si="0">SUM(B5:P5)</f>
        <v>81545.15273265609</v>
      </c>
    </row>
    <row r="6" spans="1:17">
      <c r="A6" s="461" t="s">
        <v>194</v>
      </c>
      <c r="B6" s="462">
        <f>'openbare verlichting'!B8</f>
        <v>2312.5859999999998</v>
      </c>
      <c r="C6" s="462"/>
      <c r="D6" s="462"/>
      <c r="E6" s="462"/>
      <c r="F6" s="462"/>
      <c r="G6" s="462"/>
      <c r="H6" s="462"/>
      <c r="I6" s="462"/>
      <c r="J6" s="462"/>
      <c r="K6" s="462"/>
      <c r="L6" s="462"/>
      <c r="M6" s="462"/>
      <c r="N6" s="462"/>
      <c r="O6" s="462"/>
      <c r="P6" s="463"/>
      <c r="Q6" s="461">
        <f t="shared" si="0"/>
        <v>2312.5859999999998</v>
      </c>
    </row>
    <row r="7" spans="1:17">
      <c r="A7" s="461" t="s">
        <v>112</v>
      </c>
      <c r="B7" s="462">
        <f>landbouw!B8</f>
        <v>1872.4559999999999</v>
      </c>
      <c r="C7" s="462">
        <f>landbouw!C8</f>
        <v>0</v>
      </c>
      <c r="D7" s="462">
        <f>landbouw!D8</f>
        <v>12548.044687424694</v>
      </c>
      <c r="E7" s="462">
        <f>landbouw!E8</f>
        <v>17.639790106674326</v>
      </c>
      <c r="F7" s="462">
        <f>landbouw!F8</f>
        <v>6110.4453415718326</v>
      </c>
      <c r="G7" s="462">
        <f>landbouw!G8</f>
        <v>0</v>
      </c>
      <c r="H7" s="462">
        <f>landbouw!H8</f>
        <v>0</v>
      </c>
      <c r="I7" s="462">
        <f>landbouw!I8</f>
        <v>0</v>
      </c>
      <c r="J7" s="462">
        <f>landbouw!J8</f>
        <v>231.63191482423451</v>
      </c>
      <c r="K7" s="462">
        <f>landbouw!K8</f>
        <v>0</v>
      </c>
      <c r="L7" s="462">
        <f>landbouw!L8</f>
        <v>0</v>
      </c>
      <c r="M7" s="462">
        <f>landbouw!M8</f>
        <v>0</v>
      </c>
      <c r="N7" s="462">
        <f>landbouw!N8</f>
        <v>0</v>
      </c>
      <c r="O7" s="462">
        <f>landbouw!O8</f>
        <v>0</v>
      </c>
      <c r="P7" s="463">
        <f>landbouw!P8</f>
        <v>0</v>
      </c>
      <c r="Q7" s="461">
        <f t="shared" si="0"/>
        <v>20780.217733927435</v>
      </c>
    </row>
    <row r="8" spans="1:17">
      <c r="A8" s="461" t="s">
        <v>685</v>
      </c>
      <c r="B8" s="462">
        <f>industrie!B18</f>
        <v>79992.00499999999</v>
      </c>
      <c r="C8" s="462">
        <f>industrie!C18</f>
        <v>0</v>
      </c>
      <c r="D8" s="462">
        <f>industrie!D18</f>
        <v>58333.387757673539</v>
      </c>
      <c r="E8" s="462">
        <f>industrie!E18</f>
        <v>705.54275649563795</v>
      </c>
      <c r="F8" s="462">
        <f>industrie!F18</f>
        <v>20580.653733048424</v>
      </c>
      <c r="G8" s="462">
        <f>industrie!G18</f>
        <v>0</v>
      </c>
      <c r="H8" s="462">
        <f>industrie!H18</f>
        <v>0</v>
      </c>
      <c r="I8" s="462">
        <f>industrie!I18</f>
        <v>0</v>
      </c>
      <c r="J8" s="462">
        <f>industrie!J18</f>
        <v>259.63530529322162</v>
      </c>
      <c r="K8" s="462">
        <f>industrie!K18</f>
        <v>0</v>
      </c>
      <c r="L8" s="462">
        <f>industrie!L18</f>
        <v>0</v>
      </c>
      <c r="M8" s="462">
        <f>industrie!M18</f>
        <v>0</v>
      </c>
      <c r="N8" s="462">
        <f>industrie!N18</f>
        <v>2489.2295684227233</v>
      </c>
      <c r="O8" s="462">
        <f>industrie!O18</f>
        <v>0</v>
      </c>
      <c r="P8" s="463">
        <f>industrie!P18</f>
        <v>0</v>
      </c>
      <c r="Q8" s="461">
        <f t="shared" si="0"/>
        <v>162360.45412093351</v>
      </c>
    </row>
    <row r="9" spans="1:17" s="467" customFormat="1">
      <c r="A9" s="465" t="s">
        <v>579</v>
      </c>
      <c r="B9" s="466">
        <f>transport!B14</f>
        <v>2.8635219593878443</v>
      </c>
      <c r="C9" s="466">
        <f>transport!C14</f>
        <v>0</v>
      </c>
      <c r="D9" s="466">
        <f>transport!D14</f>
        <v>8.9175813678421374</v>
      </c>
      <c r="E9" s="466">
        <f>transport!E14</f>
        <v>540.6321438149356</v>
      </c>
      <c r="F9" s="466">
        <f>transport!F14</f>
        <v>0</v>
      </c>
      <c r="G9" s="466">
        <f>transport!G14</f>
        <v>124433.78402171709</v>
      </c>
      <c r="H9" s="466">
        <f>transport!H14</f>
        <v>19924.283157612321</v>
      </c>
      <c r="I9" s="466">
        <f>transport!I14</f>
        <v>0</v>
      </c>
      <c r="J9" s="466">
        <f>transport!J14</f>
        <v>0</v>
      </c>
      <c r="K9" s="466">
        <f>transport!K14</f>
        <v>0</v>
      </c>
      <c r="L9" s="466">
        <f>transport!L14</f>
        <v>0</v>
      </c>
      <c r="M9" s="466">
        <f>transport!M14</f>
        <v>6452.4889396818025</v>
      </c>
      <c r="N9" s="466">
        <f>transport!N14</f>
        <v>0</v>
      </c>
      <c r="O9" s="466">
        <f>transport!O14</f>
        <v>0</v>
      </c>
      <c r="P9" s="466">
        <f>transport!P14</f>
        <v>0</v>
      </c>
      <c r="Q9" s="465">
        <f>SUM(B9:P9)</f>
        <v>151362.96936615335</v>
      </c>
    </row>
    <row r="10" spans="1:17">
      <c r="A10" s="461" t="s">
        <v>569</v>
      </c>
      <c r="B10" s="462">
        <f>transport!B54</f>
        <v>0</v>
      </c>
      <c r="C10" s="462">
        <f>transport!C54</f>
        <v>0</v>
      </c>
      <c r="D10" s="462">
        <f>transport!D54</f>
        <v>0</v>
      </c>
      <c r="E10" s="462">
        <f>transport!E54</f>
        <v>0</v>
      </c>
      <c r="F10" s="462">
        <f>transport!F54</f>
        <v>0</v>
      </c>
      <c r="G10" s="462">
        <f>transport!G54</f>
        <v>701.38796756707916</v>
      </c>
      <c r="H10" s="462">
        <f>transport!H54</f>
        <v>0</v>
      </c>
      <c r="I10" s="462">
        <f>transport!I54</f>
        <v>0</v>
      </c>
      <c r="J10" s="462">
        <f>transport!J54</f>
        <v>0</v>
      </c>
      <c r="K10" s="462">
        <f>transport!K54</f>
        <v>0</v>
      </c>
      <c r="L10" s="462">
        <f>transport!L54</f>
        <v>0</v>
      </c>
      <c r="M10" s="462">
        <f>transport!M54</f>
        <v>30.799102667695301</v>
      </c>
      <c r="N10" s="462">
        <f>transport!N54</f>
        <v>0</v>
      </c>
      <c r="O10" s="462">
        <f>transport!O54</f>
        <v>0</v>
      </c>
      <c r="P10" s="463">
        <f>transport!P54</f>
        <v>0</v>
      </c>
      <c r="Q10" s="461">
        <f t="shared" si="0"/>
        <v>732.18707023477441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162681.24373839059</v>
      </c>
      <c r="C14" s="472">
        <f t="shared" ref="C14:Q14" ca="1" si="1">SUM(C4:C13)</f>
        <v>0</v>
      </c>
      <c r="D14" s="472">
        <f t="shared" ca="1" si="1"/>
        <v>245526.81641981634</v>
      </c>
      <c r="E14" s="472">
        <f t="shared" si="1"/>
        <v>7989.6063381777549</v>
      </c>
      <c r="F14" s="472">
        <f t="shared" ca="1" si="1"/>
        <v>43540.638741532661</v>
      </c>
      <c r="G14" s="472">
        <f t="shared" si="1"/>
        <v>125135.17198928416</v>
      </c>
      <c r="H14" s="472">
        <f t="shared" si="1"/>
        <v>19924.283157612321</v>
      </c>
      <c r="I14" s="472">
        <f t="shared" si="1"/>
        <v>0</v>
      </c>
      <c r="J14" s="472">
        <f t="shared" si="1"/>
        <v>491.26722011745613</v>
      </c>
      <c r="K14" s="472">
        <f t="shared" si="1"/>
        <v>0</v>
      </c>
      <c r="L14" s="472">
        <f t="shared" ca="1" si="1"/>
        <v>0</v>
      </c>
      <c r="M14" s="472">
        <f t="shared" si="1"/>
        <v>6483.288042349498</v>
      </c>
      <c r="N14" s="472">
        <f t="shared" ca="1" si="1"/>
        <v>34028.766115953746</v>
      </c>
      <c r="O14" s="472">
        <f t="shared" si="1"/>
        <v>143.82666666666668</v>
      </c>
      <c r="P14" s="473">
        <f t="shared" si="1"/>
        <v>171.60000000000002</v>
      </c>
      <c r="Q14" s="473">
        <f t="shared" ca="1" si="1"/>
        <v>646116.50842990121</v>
      </c>
    </row>
    <row r="16" spans="1:17">
      <c r="A16" s="475" t="s">
        <v>574</v>
      </c>
      <c r="B16" s="829">
        <f ca="1">huishoudens!B10</f>
        <v>0.18454474051865855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8412.0173182436502</v>
      </c>
      <c r="C21" s="462">
        <f t="shared" ref="C21:C30" ca="1" si="3">C4*$C$16</f>
        <v>0</v>
      </c>
      <c r="D21" s="462">
        <f t="shared" ref="D21:D30" si="4">D4*$D$16</f>
        <v>27275.778234290865</v>
      </c>
      <c r="E21" s="462">
        <f t="shared" ref="E21:E30" si="5">E4*$E$16</f>
        <v>1468.2516960767107</v>
      </c>
      <c r="F21" s="462">
        <f t="shared" ref="F21:F30" si="6">F4*$F$16</f>
        <v>2563.5950848340208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39719.642333445248</v>
      </c>
    </row>
    <row r="22" spans="1:17">
      <c r="A22" s="461" t="s">
        <v>156</v>
      </c>
      <c r="B22" s="462">
        <f t="shared" ca="1" si="2"/>
        <v>6074.9908505513949</v>
      </c>
      <c r="C22" s="462">
        <f t="shared" ca="1" si="3"/>
        <v>0</v>
      </c>
      <c r="D22" s="462">
        <f t="shared" ca="1" si="4"/>
        <v>8000.78797716589</v>
      </c>
      <c r="E22" s="462">
        <f t="shared" si="5"/>
        <v>58.503007964924663</v>
      </c>
      <c r="F22" s="462">
        <f t="shared" ca="1" si="6"/>
        <v>1935.2320062315919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16069.5138419138</v>
      </c>
    </row>
    <row r="23" spans="1:17">
      <c r="A23" s="461" t="s">
        <v>194</v>
      </c>
      <c r="B23" s="462">
        <f t="shared" ca="1" si="2"/>
        <v>426.77558329708245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426.77558329708245</v>
      </c>
    </row>
    <row r="24" spans="1:17">
      <c r="A24" s="461" t="s">
        <v>112</v>
      </c>
      <c r="B24" s="462">
        <f t="shared" ca="1" si="2"/>
        <v>345.55190665260528</v>
      </c>
      <c r="C24" s="462">
        <f t="shared" ca="1" si="3"/>
        <v>0</v>
      </c>
      <c r="D24" s="462">
        <f t="shared" si="4"/>
        <v>2534.7050268597882</v>
      </c>
      <c r="E24" s="462">
        <f t="shared" si="5"/>
        <v>4.0042323542150724</v>
      </c>
      <c r="F24" s="462">
        <f t="shared" si="6"/>
        <v>1631.4889061996794</v>
      </c>
      <c r="G24" s="462">
        <f t="shared" si="7"/>
        <v>0</v>
      </c>
      <c r="H24" s="462">
        <f t="shared" si="8"/>
        <v>0</v>
      </c>
      <c r="I24" s="462">
        <f t="shared" si="9"/>
        <v>0</v>
      </c>
      <c r="J24" s="462">
        <f t="shared" si="10"/>
        <v>81.997697847779008</v>
      </c>
      <c r="K24" s="462">
        <f t="shared" si="11"/>
        <v>0</v>
      </c>
      <c r="L24" s="462">
        <f t="shared" si="12"/>
        <v>0</v>
      </c>
      <c r="M24" s="462">
        <f t="shared" si="13"/>
        <v>0</v>
      </c>
      <c r="N24" s="462">
        <f t="shared" si="14"/>
        <v>0</v>
      </c>
      <c r="O24" s="462">
        <f t="shared" si="15"/>
        <v>0</v>
      </c>
      <c r="P24" s="463">
        <f t="shared" si="16"/>
        <v>0</v>
      </c>
      <c r="Q24" s="461">
        <f t="shared" ca="1" si="17"/>
        <v>4597.7477699140672</v>
      </c>
    </row>
    <row r="25" spans="1:17">
      <c r="A25" s="461" t="s">
        <v>685</v>
      </c>
      <c r="B25" s="462">
        <f t="shared" ca="1" si="2"/>
        <v>14762.103806292234</v>
      </c>
      <c r="C25" s="462">
        <f t="shared" ca="1" si="3"/>
        <v>0</v>
      </c>
      <c r="D25" s="462">
        <f t="shared" si="4"/>
        <v>11783.344327050056</v>
      </c>
      <c r="E25" s="462">
        <f t="shared" si="5"/>
        <v>160.15820572450983</v>
      </c>
      <c r="F25" s="462">
        <f t="shared" si="6"/>
        <v>5495.0345467239295</v>
      </c>
      <c r="G25" s="462">
        <f t="shared" si="7"/>
        <v>0</v>
      </c>
      <c r="H25" s="462">
        <f t="shared" si="8"/>
        <v>0</v>
      </c>
      <c r="I25" s="462">
        <f t="shared" si="9"/>
        <v>0</v>
      </c>
      <c r="J25" s="462">
        <f t="shared" si="10"/>
        <v>91.910898073800453</v>
      </c>
      <c r="K25" s="462">
        <f t="shared" si="11"/>
        <v>0</v>
      </c>
      <c r="L25" s="462">
        <f t="shared" si="12"/>
        <v>0</v>
      </c>
      <c r="M25" s="462">
        <f t="shared" si="13"/>
        <v>0</v>
      </c>
      <c r="N25" s="462">
        <f t="shared" si="14"/>
        <v>0</v>
      </c>
      <c r="O25" s="462">
        <f t="shared" si="15"/>
        <v>0</v>
      </c>
      <c r="P25" s="463">
        <f t="shared" si="16"/>
        <v>0</v>
      </c>
      <c r="Q25" s="461">
        <f t="shared" ca="1" si="17"/>
        <v>32292.551783864532</v>
      </c>
    </row>
    <row r="26" spans="1:17" s="467" customFormat="1">
      <c r="A26" s="465" t="s">
        <v>579</v>
      </c>
      <c r="B26" s="823">
        <f t="shared" ca="1" si="2"/>
        <v>0.52844791696471038</v>
      </c>
      <c r="C26" s="466">
        <f t="shared" ca="1" si="3"/>
        <v>0</v>
      </c>
      <c r="D26" s="466">
        <f t="shared" si="4"/>
        <v>1.8013514363041119</v>
      </c>
      <c r="E26" s="466">
        <f t="shared" si="5"/>
        <v>122.72349664599038</v>
      </c>
      <c r="F26" s="466">
        <f t="shared" si="6"/>
        <v>0</v>
      </c>
      <c r="G26" s="466">
        <f t="shared" si="7"/>
        <v>33223.820333798467</v>
      </c>
      <c r="H26" s="466">
        <f t="shared" si="8"/>
        <v>4961.1465062454681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38310.020136043189</v>
      </c>
    </row>
    <row r="27" spans="1:17">
      <c r="A27" s="461" t="s">
        <v>569</v>
      </c>
      <c r="B27" s="462">
        <f t="shared" ca="1" si="2"/>
        <v>0</v>
      </c>
      <c r="C27" s="462">
        <f t="shared" ca="1" si="3"/>
        <v>0</v>
      </c>
      <c r="D27" s="462">
        <f t="shared" si="4"/>
        <v>0</v>
      </c>
      <c r="E27" s="462">
        <f t="shared" si="5"/>
        <v>0</v>
      </c>
      <c r="F27" s="462">
        <f t="shared" si="6"/>
        <v>0</v>
      </c>
      <c r="G27" s="462">
        <f t="shared" si="7"/>
        <v>187.27058734041015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187.27058734041015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30021.967912953929</v>
      </c>
      <c r="C31" s="472">
        <f t="shared" ca="1" si="18"/>
        <v>0</v>
      </c>
      <c r="D31" s="472">
        <f t="shared" ca="1" si="18"/>
        <v>49596.416916802904</v>
      </c>
      <c r="E31" s="472">
        <f t="shared" si="18"/>
        <v>1813.6406387663503</v>
      </c>
      <c r="F31" s="472">
        <f t="shared" ca="1" si="18"/>
        <v>11625.350543989221</v>
      </c>
      <c r="G31" s="472">
        <f t="shared" si="18"/>
        <v>33411.090921138879</v>
      </c>
      <c r="H31" s="472">
        <f t="shared" si="18"/>
        <v>4961.1465062454681</v>
      </c>
      <c r="I31" s="472">
        <f t="shared" si="18"/>
        <v>0</v>
      </c>
      <c r="J31" s="472">
        <f t="shared" si="18"/>
        <v>173.90859592157946</v>
      </c>
      <c r="K31" s="472">
        <f t="shared" si="18"/>
        <v>0</v>
      </c>
      <c r="L31" s="472">
        <f t="shared" ca="1" si="18"/>
        <v>0</v>
      </c>
      <c r="M31" s="472">
        <f t="shared" si="18"/>
        <v>0</v>
      </c>
      <c r="N31" s="472">
        <f t="shared" ca="1" si="18"/>
        <v>0</v>
      </c>
      <c r="O31" s="472">
        <f t="shared" si="18"/>
        <v>0</v>
      </c>
      <c r="P31" s="473">
        <f t="shared" si="18"/>
        <v>0</v>
      </c>
      <c r="Q31" s="473">
        <f t="shared" ca="1" si="18"/>
        <v>131603.52203581831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0.18454474051865855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1</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19.066666666666666</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0.18454474051865855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0.18454474051865855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2018-06-27T09:19:13Z</dcterms:modified>
</cp:coreProperties>
</file>