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M14" i="22"/>
  <c r="M18" s="1"/>
  <c r="N45" i="14" s="1"/>
  <c r="N46" s="1"/>
  <c r="N53" s="1"/>
  <c r="G14" i="22"/>
  <c r="I7" i="18"/>
  <c r="I9" s="1"/>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H18" i="22"/>
  <c r="I45" i="14" s="1"/>
  <c r="I46" s="1"/>
  <c r="I53" s="1"/>
  <c r="I19"/>
  <c r="I20" s="1"/>
  <c r="I23" s="1"/>
  <c r="H9" i="48"/>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E5"/>
  <c r="E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J31"/>
  <c r="J14"/>
  <c r="F8"/>
  <c r="F14" s="1"/>
  <c r="F22" i="16"/>
  <c r="G39" i="14" s="1"/>
  <c r="G41" s="1"/>
  <c r="G53" s="1"/>
  <c r="G55" s="1"/>
  <c r="O69" s="1"/>
  <c r="B9" i="6" s="1"/>
  <c r="B12" s="1"/>
  <c r="Q9" i="48"/>
  <c r="E25"/>
  <c r="E31" s="1"/>
  <c r="E14"/>
  <c r="N25"/>
  <c r="N31" s="1"/>
  <c r="N14"/>
  <c r="E22" i="16"/>
  <c r="F39" i="14" s="1"/>
  <c r="F41" s="1"/>
  <c r="F53" s="1"/>
  <c r="F55" s="1"/>
  <c r="J22" i="16"/>
  <c r="K39" i="14" s="1"/>
  <c r="K41" s="1"/>
  <c r="K53" s="1"/>
  <c r="F13"/>
  <c r="F15" s="1"/>
  <c r="F23" s="1"/>
  <c r="G14" i="48"/>
  <c r="H55" i="14"/>
  <c r="M14" i="48"/>
  <c r="R19" i="14"/>
  <c r="R20" s="1"/>
  <c r="M26" i="48"/>
  <c r="M31" s="1"/>
  <c r="O53" i="14"/>
  <c r="M53"/>
  <c r="M55" s="1"/>
  <c r="C12" i="13"/>
  <c r="D37" i="14" s="1"/>
  <c r="D41" s="1"/>
  <c r="C23" i="48"/>
  <c r="C24"/>
  <c r="C27"/>
  <c r="C28"/>
  <c r="C22"/>
  <c r="C25"/>
  <c r="C29"/>
  <c r="C21"/>
  <c r="C26"/>
  <c r="K55" i="14"/>
  <c r="R13"/>
  <c r="R15" s="1"/>
  <c r="Q14" i="48" l="1"/>
  <c r="Q8"/>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<sst xmlns="http://schemas.openxmlformats.org/spreadsheetml/2006/main" count="2018" uniqueCount="877">
  <si>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</si>
  <si>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</si>
  <si>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</si>
  <si>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</si>
  <si>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</si>
  <si>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</si>
  <si>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</si>
  <si>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</si>
  <si>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</si>
  <si>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</si>
  <si>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</si>
  <si>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</si>
  <si>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</si>
  <si>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</si>
  <si>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</si>
  <si>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</si>
  <si>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</si>
  <si>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</si>
  <si>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</si>
  <si>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</si>
  <si>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</si>
  <si>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</si>
  <si>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</si>
  <si>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</si>
  <si>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</si>
  <si>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</si>
  <si>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</si>
  <si>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</si>
  <si>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</si>
  <si>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</si>
  <si>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</si>
  <si>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</si>
  <si>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</si>
  <si>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</si>
  <si>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</si>
  <si>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</si>
  <si>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</si>
  <si>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</si>
  <si>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</si>
  <si>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</si>
  <si>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</si>
  <si>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</si>
  <si>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</si>
  <si>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</si>
  <si>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</si>
  <si>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</si>
  <si>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</si>
  <si>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</si>
  <si>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</si>
  <si>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</si>
  <si>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</si>
  <si>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</si>
  <si>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</si>
  <si>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</si>
  <si>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</si>
  <si>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</si>
  <si>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</si>
  <si>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</si>
  <si>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</si>
  <si>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</si>
  <si>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</si>
  <si>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</si>
  <si>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</si>
  <si>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</si>
  <si>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</si>
  <si>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</si>
  <si>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</si>
  <si>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</si>
  <si>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</si>
  <si>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</si>
  <si>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</si>
  <si>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</si>
  <si>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</si>
  <si>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</si>
  <si>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</si>
  <si>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</si>
  <si>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</si>
  <si>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</si>
  <si>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</si>
  <si>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</si>
  <si>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</si>
  <si>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</si>
  <si>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</si>
  <si>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</si>
  <si>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</si>
  <si>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</si>
  <si>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</si>
  <si>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</si>
  <si>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</si>
  <si>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</si>
  <si>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</si>
  <si>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</si>
  <si>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</si>
  <si>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</si>
  <si>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</si>
  <si>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</si>
  <si>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</si>
  <si>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</si>
  <si>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</si>
  <si>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</si>
  <si>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</si>
  <si>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</si>
  <si>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</si>
  <si>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</si>
  <si>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</si>
  <si>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</si>
  <si>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</si>
  <si>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</si>
  <si>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</si>
  <si>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</si>
  <si>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</si>
  <si>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</si>
  <si>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</si>
  <si>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</si>
  <si>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</si>
  <si>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</si>
  <si>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</si>
  <si>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</si>
  <si>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</si>
  <si>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</si>
  <si>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</si>
  <si>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</si>
  <si>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</si>
  <si>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</si>
  <si>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</si>
  <si>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</si>
  <si>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</si>
  <si>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</si>
  <si>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</si>
  <si>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</si>
  <si>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</si>
  <si>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</si>
  <si>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</si>
  <si>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</si>
  <si>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</si>
  <si>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</si>
  <si>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</si>
  <si>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</si>
  <si>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</si>
  <si>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</si>
  <si>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</si>
  <si>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</si>
  <si>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</si>
  <si>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</si>
  <si>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</si>
  <si>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</si>
  <si>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</si>
  <si>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</si>
  <si>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</si>
  <si>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</si>
  <si>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</si>
  <si>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</si>
  <si>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</si>
  <si>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</si>
  <si>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</si>
  <si>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</si>
  <si>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</si>
  <si>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</si>
  <si>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</si>
  <si>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</si>
  <si>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</si>
  <si>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</si>
  <si>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</si>
  <si>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</si>
  <si>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</si>
  <si>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</si>
  <si>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</si>
  <si>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</si>
  <si>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</si>
  <si>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</si>
  <si>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</si>
  <si>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</si>
  <si>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</si>
  <si>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</si>
  <si>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</si>
  <si>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</si>
  <si>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</si>
  <si>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</si>
  <si>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</si>
  <si>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</si>
  <si>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</si>
  <si>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</si>
  <si>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</si>
  <si>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</si>
  <si>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</si>
  <si>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</si>
  <si>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</si>
  <si>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</si>
  <si>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</si>
  <si>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</si>
  <si>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</si>
  <si>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</si>
  <si>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</si>
  <si>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</si>
  <si>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</si>
  <si>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</si>
  <si>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</si>
  <si>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</si>
  <si>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</si>
  <si>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</si>
  <si>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</si>
  <si>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</si>
  <si>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</si>
  <si>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</si>
  <si>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</si>
  <si>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</si>
  <si>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</si>
  <si>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</si>
  <si>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</si>
  <si>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</si>
  <si>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</si>
  <si>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</si>
  <si>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</si>
  <si>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</si>
  <si>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</si>
  <si>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</si>
  <si>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</si>
  <si>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</si>
  <si>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</si>
  <si>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</si>
  <si>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</si>
  <si>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</si>
  <si>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</si>
  <si>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</si>
  <si>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</si>
  <si>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</si>
  <si>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</si>
  <si>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</si>
  <si>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</si>
  <si>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</si>
  <si>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</si>
  <si>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</si>
  <si>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</si>
  <si>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</si>
  <si>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</si>
  <si>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</si>
  <si>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</si>
  <si>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</si>
  <si>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</si>
  <si>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</si>
  <si>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</si>
  <si>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</si>
  <si>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</si>
  <si>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</si>
  <si>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</si>
  <si>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</si>
  <si>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</si>
  <si>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</si>
  <si>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</si>
  <si>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</si>
  <si>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</si>
  <si>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</si>
  <si>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</si>
  <si>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</si>
  <si>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</si>
  <si>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</si>
  <si>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</si>
  <si>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</si>
  <si>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</si>
  <si>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</si>
  <si>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</si>
  <si>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</si>
  <si>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</si>
  <si>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</si>
  <si>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</si>
  <si>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</si>
  <si>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</si>
  <si>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</si>
  <si>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</si>
  <si>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</si>
  <si>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</si>
  <si>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</si>
  <si>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</si>
  <si>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</si>
  <si>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</si>
  <si>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</si>
  <si>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</si>
  <si>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</si>
  <si>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</si>
  <si>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</si>
  <si>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</si>
  <si>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</si>
  <si>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</si>
  <si>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</si>
  <si>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</si>
  <si>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</si>
  <si>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</si>
  <si>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</si>
  <si>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</si>
  <si>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</si>
  <si>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</si>
  <si>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</si>
  <si>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</si>
  <si>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</si>
  <si>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</si>
  <si>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</si>
  <si>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</si>
  <si>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</si>
  <si>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</si>
  <si>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</si>
  <si>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</si>
  <si>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</si>
  <si>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</si>
  <si>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</si>
  <si>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</si>
  <si>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</si>
  <si>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</si>
  <si>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</si>
  <si>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</si>
  <si>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</si>
  <si>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</si>
  <si>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</si>
  <si>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</si>
  <si>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</si>
  <si>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</si>
  <si>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</si>
  <si>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</si>
  <si>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</si>
  <si>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</si>
  <si>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</si>
  <si>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</si>
  <si>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</si>
  <si>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</si>
  <si>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</si>
  <si>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</si>
  <si>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</si>
  <si>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</si>
  <si>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</si>
  <si>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</si>
  <si>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</si>
  <si>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</si>
  <si>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</si>
  <si>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</si>
  <si>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</si>
  <si>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</si>
  <si>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</si>
  <si>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</si>
  <si>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</si>
  <si>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</si>
  <si>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</si>
  <si>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</si>
  <si>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</si>
  <si>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</si>
  <si>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</si>
  <si>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</si>
  <si>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</si>
  <si>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</si>
  <si>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</si>
  <si>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</si>
  <si>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</si>
  <si>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</si>
  <si>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</si>
  <si>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</si>
  <si>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</si>
  <si>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</si>
  <si>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</si>
  <si>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</si>
  <si>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</si>
  <si>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</si>
  <si>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</si>
  <si>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</si>
  <si>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</si>
  <si>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</si>
  <si>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</si>
  <si>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</si>
  <si>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</si>
  <si>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</si>
  <si>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</si>
  <si>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</si>
  <si>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</si>
  <si>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</si>
  <si>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</si>
  <si>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</si>
  <si>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</si>
  <si>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</si>
  <si>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</si>
  <si>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</si>
  <si>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</si>
  <si>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</si>
  <si>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</si>
  <si>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</si>
  <si>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</si>
  <si>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</si>
  <si>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</si>
  <si>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</si>
  <si>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</si>
  <si>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</si>
  <si>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</si>
  <si>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</si>
  <si>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</si>
  <si>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</si>
  <si>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</si>
  <si>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</si>
  <si>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</si>
  <si>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</si>
  <si>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</si>
  <si>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</si>
  <si>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</si>
  <si>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</si>
  <si>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</si>
  <si>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</si>
  <si>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</si>
  <si>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</si>
  <si>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</si>
  <si>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</si>
  <si>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</si>
  <si>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</si>
  <si>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</si>
  <si>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</si>
  <si>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</si>
  <si>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</si>
  <si>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</si>
  <si>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</si>
  <si>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</si>
  <si>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</si>
  <si>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</si>
  <si>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</si>
  <si>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</si>
  <si>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</si>
  <si>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</si>
  <si>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</si>
  <si>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</si>
  <si>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</si>
  <si>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</si>
  <si>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</si>
  <si>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</si>
  <si>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</si>
  <si>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</si>
  <si>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</si>
  <si>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</si>
  <si>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</si>
  <si>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</si>
  <si>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</si>
  <si>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</si>
  <si>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</si>
  <si>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</si>
  <si>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</si>
  <si>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</si>
  <si>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</si>
  <si>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</si>
  <si>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</si>
  <si>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</si>
  <si>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</si>
  <si>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</si>
  <si>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</si>
  <si>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</si>
  <si>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</si>
  <si>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</si>
  <si>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</si>
  <si>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</si>
  <si>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</si>
  <si>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</si>
  <si>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</si>
  <si>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</si>
  <si>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</si>
  <si>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</si>
  <si>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</si>
  <si>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</si>
  <si>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</si>
  <si>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</si>
  <si>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</si>
  <si>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</si>
  <si>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</si>
  <si>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</si>
  <si>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</si>
  <si>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</si>
  <si>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</si>
  <si>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</si>
  <si>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</si>
  <si>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</si>
  <si>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</si>
  <si>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</si>
  <si>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</si>
  <si>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</si>
  <si>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</si>
  <si>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</si>
  <si>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</si>
  <si>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</si>
  <si>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</si>
  <si>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</si>
  <si>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</si>
  <si>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</si>
  <si>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</si>
  <si>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</si>
  <si>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</si>
  <si>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</si>
  <si>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</si>
  <si>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</si>
  <si>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</si>
  <si>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</si>
  <si>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</si>
  <si>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</si>
  <si>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</si>
  <si>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</si>
  <si>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</si>
  <si>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</si>
  <si>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</si>
  <si>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</si>
  <si>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</si>
  <si>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</si>
  <si>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</si>
  <si>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</si>
  <si>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</si>
  <si>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</si>
  <si>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</si>
  <si>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</si>
  <si>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</si>
  <si>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</si>
  <si>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</si>
  <si>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</si>
  <si>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</si>
  <si>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</si>
  <si>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</si>
  <si>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</si>
  <si>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</si>
  <si>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</si>
  <si>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</si>
  <si>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</si>
  <si>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</si>
  <si>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</si>
  <si>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</si>
  <si>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</si>
  <si>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</si>
  <si>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</si>
  <si>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</si>
  <si>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</si>
  <si>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</si>
  <si>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</si>
  <si>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</si>
  <si>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</si>
  <si>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</si>
  <si>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</si>
  <si>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</si>
  <si>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</si>
  <si>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</si>
  <si>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</si>
  <si>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</si>
  <si>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</si>
  <si>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</si>
  <si>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</si>
  <si>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</si>
  <si>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</si>
  <si>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</si>
  <si>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</si>
  <si>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</si>
  <si>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</si>
  <si>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</si>
  <si>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</si>
  <si>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</si>
  <si>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</si>
  <si>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</si>
  <si>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</si>
  <si>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</si>
  <si>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</si>
  <si>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</si>
  <si>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</si>
  <si>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</si>
  <si>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</si>
  <si>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</si>
  <si>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</si>
  <si>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</si>
  <si>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</si>
  <si>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</si>
  <si>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</si>
  <si>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</si>
  <si>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</si>
  <si>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</si>
  <si>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</si>
  <si>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</si>
  <si>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</si>
  <si>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</si>
  <si>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</si>
  <si>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</si>
  <si>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</si>
  <si>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</si>
  <si>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</si>
  <si>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</si>
  <si>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</si>
  <si>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</si>
  <si>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</si>
  <si>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</si>
  <si>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</si>
  <si>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</si>
  <si>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</si>
  <si>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</si>
  <si>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</si>
  <si>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</si>
  <si>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</si>
  <si>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</si>
  <si>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</si>
  <si>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</si>
  <si>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</si>
  <si>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</si>
  <si>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</si>
  <si>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</si>
  <si>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</si>
  <si>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</si>
  <si>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</si>
  <si>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</si>
  <si>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</si>
  <si>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</si>
  <si>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</si>
  <si>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</si>
  <si>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</si>
  <si>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</si>
  <si>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</si>
  <si>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</si>
  <si>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</si>
  <si>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</si>
  <si>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</si>
  <si>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</si>
  <si>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</si>
  <si>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</si>
  <si>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</si>
  <si>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</si>
  <si>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</si>
  <si>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</si>
  <si>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</si>
  <si>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</si>
  <si>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</si>
  <si>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</si>
  <si>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</si>
  <si>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</si>
  <si>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</si>
  <si>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</si>
  <si>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</si>
  <si>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</si>
  <si>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</si>
  <si>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</si>
  <si>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</si>
  <si>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</si>
  <si>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</si>
  <si>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</si>
  <si>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</si>
  <si>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</si>
  <si>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</si>
  <si>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</si>
  <si>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</si>
  <si>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</si>
  <si>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</si>
  <si>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</si>
  <si>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</si>
  <si>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</si>
  <si>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</si>
  <si>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</si>
  <si>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</si>
  <si>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</si>
  <si>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</si>
  <si>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</si>
  <si>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</si>
  <si>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</si>
  <si>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</si>
  <si>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</si>
  <si>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</si>
  <si>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</si>
  <si>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</si>
  <si>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</si>
  <si>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</si>
  <si>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</si>
  <si>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</si>
  <si>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</si>
  <si>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</si>
  <si>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</si>
  <si>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</si>
  <si>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</si>
  <si>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</si>
  <si>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</si>
  <si>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</si>
  <si>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</si>
  <si>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</si>
  <si>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</si>
  <si>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</si>
  <si>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</si>
  <si>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</si>
  <si>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</si>
  <si>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</si>
  <si>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</si>
  <si>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</si>
  <si>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</si>
  <si>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</si>
  <si>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</si>
  <si>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</si>
  <si>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</si>
  <si>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</si>
  <si>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</si>
  <si>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</si>
  <si>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</si>
  <si>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</si>
  <si>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</si>
  <si>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</si>
  <si>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</si>
  <si>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</si>
  <si>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</si>
  <si>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</si>
  <si>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</si>
  <si>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</si>
  <si>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</si>
  <si>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</si>
  <si>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</si>
  <si>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</si>
  <si>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</si>
  <si>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</si>
  <si>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</si>
  <si>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</si>
  <si>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</si>
  <si>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</si>
  <si>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</si>
  <si>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</si>
  <si>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</si>
  <si>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</si>
  <si>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</si>
  <si>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</si>
  <si>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</si>
  <si>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</si>
  <si>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</si>
  <si>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</si>
  <si>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</si>
  <si>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</si>
  <si>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</si>
  <si>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</si>
  <si>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</si>
  <si>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</si>
  <si>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</si>
  <si>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</si>
  <si>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</si>
  <si>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</si>
  <si>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</si>
  <si>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</si>
  <si>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</si>
  <si>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</si>
  <si>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</si>
  <si>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</si>
  <si>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</si>
  <si>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</si>
  <si>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</si>
  <si>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</si>
  <si>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</si>
  <si>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</si>
  <si>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</si>
  <si>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</si>
  <si>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</si>
  <si>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</si>
  <si>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</si>
  <si>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</si>
  <si>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</si>
  <si>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</si>
  <si>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</si>
  <si>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</si>
  <si>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</si>
  <si>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</si>
  <si>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</si>
  <si>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</si>
  <si>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</si>
  <si>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</si>
  <si>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</si>
  <si>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</si>
  <si>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</si>
  <si>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</si>
  <si>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</si>
  <si>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</si>
  <si>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</si>
  <si>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</si>
  <si>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</si>
  <si>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</si>
  <si>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</si>
  <si>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</si>
  <si>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</si>
  <si>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</si>
  <si>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</si>
  <si>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</si>
  <si>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</si>
  <si>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</si>
  <si>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</si>
  <si>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</si>
  <si>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</si>
  <si>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</si>
  <si>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</si>
  <si>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</si>
  <si>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</si>
  <si>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</si>
  <si>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</si>
  <si>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</si>
  <si>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</si>
  <si>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</si>
  <si>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</si>
  <si>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</si>
  <si>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</si>
  <si>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</si>
  <si>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</si>
  <si>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</si>
  <si>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</si>
  <si>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</si>
  <si>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</si>
  <si>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</si>
  <si>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</si>
  <si>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</si>
  <si>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</si>
  <si>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</si>
  <si>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</si>
  <si>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</si>
  <si>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</si>
  <si>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</si>
  <si>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</si>
  <si>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</si>
  <si>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</si>
  <si>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</si>
  <si>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</si>
  <si>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</si>
  <si>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</si>
  <si>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</si>
  <si>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</si>
  <si>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</si>
  <si>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</si>
  <si>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</si>
  <si>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</si>
  <si>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</si>
  <si>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</si>
  <si>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</si>
  <si>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</si>
  <si>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</si>
  <si>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</si>
  <si>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</si>
  <si>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</si>
  <si>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</si>
  <si>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</si>
  <si>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</si>
  <si>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</si>
  <si>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</si>
  <si>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</si>
  <si>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</si>
  <si>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</si>
  <si>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</si>
  <si>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</si>
  <si>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</si>
  <si>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</si>
  <si>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</si>
  <si>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</si>
  <si>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</si>
  <si>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</si>
  <si>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</si>
  <si>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</si>
  <si>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</si>
  <si>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</si>
  <si>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</si>
  <si>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</si>
  <si>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</si>
  <si>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</si>
  <si>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</si>
  <si>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</si>
  <si>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</si>
  <si>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</si>
  <si>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</si>
  <si>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</si>
  <si>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</si>
  <si>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</si>
  <si>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</si>
  <si>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</si>
  <si>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</si>
  <si>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</si>
  <si>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</si>
  <si>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</si>
  <si>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</si>
  <si>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</si>
  <si>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</si>
  <si>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</si>
  <si>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</si>
  <si>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</si>
  <si>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</si>
  <si>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</si>
  <si>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</si>
  <si>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</si>
  <si>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35011</t>
  </si>
  <si>
    <t>MIDDELKERKE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</si>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</sst>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35011</v>
      </c>
      <c r="B6" s="397"/>
      <c r="C6" s="398"/>
    </row>
    <row r="7" spans="1:7" s="395" customFormat="1" ht="15.75" customHeight="1">
      <c r="A7" s="399" t="str">
        <f>txtMunicipality</f>
        <v>MIDDELKERKE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9462</v>
      </c>
      <c r="C9" s="338">
        <v>10329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5767</v>
      </c>
    </row>
    <row r="15" spans="1:6">
      <c r="A15" s="1205" t="s">
        <v>184</v>
      </c>
      <c r="B15" s="335">
        <v>44</v>
      </c>
    </row>
    <row r="16" spans="1:6">
      <c r="A16" s="1205" t="s">
        <v>6</v>
      </c>
      <c r="B16" s="335">
        <v>1685</v>
      </c>
    </row>
    <row r="17" spans="1:6">
      <c r="A17" s="1205" t="s">
        <v>7</v>
      </c>
      <c r="B17" s="335">
        <v>1676</v>
      </c>
    </row>
    <row r="18" spans="1:6">
      <c r="A18" s="1205" t="s">
        <v>8</v>
      </c>
      <c r="B18" s="335">
        <v>2265</v>
      </c>
    </row>
    <row r="19" spans="1:6">
      <c r="A19" s="1205" t="s">
        <v>9</v>
      </c>
      <c r="B19" s="335">
        <v>1981</v>
      </c>
    </row>
    <row r="20" spans="1:6">
      <c r="A20" s="1205" t="s">
        <v>10</v>
      </c>
      <c r="B20" s="335">
        <v>1452</v>
      </c>
    </row>
    <row r="21" spans="1:6">
      <c r="A21" s="1205" t="s">
        <v>11</v>
      </c>
      <c r="B21" s="335">
        <v>11342</v>
      </c>
    </row>
    <row r="22" spans="1:6">
      <c r="A22" s="1205" t="s">
        <v>12</v>
      </c>
      <c r="B22" s="335">
        <v>28302</v>
      </c>
    </row>
    <row r="23" spans="1:6">
      <c r="A23" s="1205" t="s">
        <v>13</v>
      </c>
      <c r="B23" s="335">
        <v>407</v>
      </c>
    </row>
    <row r="24" spans="1:6">
      <c r="A24" s="1205" t="s">
        <v>14</v>
      </c>
      <c r="B24" s="335">
        <v>194</v>
      </c>
    </row>
    <row r="25" spans="1:6">
      <c r="A25" s="1205" t="s">
        <v>15</v>
      </c>
      <c r="B25" s="335">
        <v>2790</v>
      </c>
    </row>
    <row r="26" spans="1:6">
      <c r="A26" s="1205" t="s">
        <v>16</v>
      </c>
      <c r="B26" s="335">
        <v>315</v>
      </c>
    </row>
    <row r="27" spans="1:6">
      <c r="A27" s="1205" t="s">
        <v>17</v>
      </c>
      <c r="B27" s="335">
        <v>37</v>
      </c>
    </row>
    <row r="28" spans="1:6" s="341" customFormat="1">
      <c r="A28" s="1206" t="s">
        <v>18</v>
      </c>
      <c r="B28" s="1206">
        <v>27463</v>
      </c>
    </row>
    <row r="29" spans="1:6">
      <c r="A29" s="1206" t="s">
        <v>873</v>
      </c>
      <c r="B29" s="1206">
        <v>258</v>
      </c>
      <c r="C29" s="341"/>
      <c r="D29" s="341"/>
      <c r="E29" s="341"/>
      <c r="F29" s="341"/>
    </row>
    <row r="30" spans="1:6">
      <c r="A30" s="1201" t="s">
        <v>874</v>
      </c>
      <c r="B30" s="1201">
        <v>67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14</v>
      </c>
      <c r="F36" s="335">
        <v>64793</v>
      </c>
    </row>
    <row r="37" spans="1:6">
      <c r="A37" s="1205" t="s">
        <v>25</v>
      </c>
      <c r="B37" s="1205" t="s">
        <v>28</v>
      </c>
      <c r="C37" s="335">
        <v>0</v>
      </c>
      <c r="D37" s="335">
        <v>0</v>
      </c>
      <c r="E37" s="335">
        <v>0</v>
      </c>
      <c r="F37" s="335">
        <v>0</v>
      </c>
    </row>
    <row r="38" spans="1:6">
      <c r="A38" s="1205" t="s">
        <v>25</v>
      </c>
      <c r="B38" s="1205" t="s">
        <v>29</v>
      </c>
      <c r="C38" s="335">
        <v>1</v>
      </c>
      <c r="D38" s="335">
        <v>56138</v>
      </c>
      <c r="E38" s="335">
        <v>0</v>
      </c>
      <c r="F38" s="335">
        <v>0</v>
      </c>
    </row>
    <row r="39" spans="1:6">
      <c r="A39" s="1205" t="s">
        <v>30</v>
      </c>
      <c r="B39" s="1205" t="s">
        <v>31</v>
      </c>
      <c r="C39" s="335">
        <v>8402</v>
      </c>
      <c r="D39" s="335">
        <v>98128577</v>
      </c>
      <c r="E39" s="335">
        <v>23113</v>
      </c>
      <c r="F39" s="335">
        <v>55886140</v>
      </c>
    </row>
    <row r="40" spans="1:6">
      <c r="A40" s="1205" t="s">
        <v>30</v>
      </c>
      <c r="B40" s="1205" t="s">
        <v>29</v>
      </c>
      <c r="C40" s="335">
        <v>0</v>
      </c>
      <c r="D40" s="335">
        <v>0</v>
      </c>
      <c r="E40" s="335">
        <v>0</v>
      </c>
      <c r="F40" s="335">
        <v>0</v>
      </c>
    </row>
    <row r="41" spans="1:6">
      <c r="A41" s="1205" t="s">
        <v>32</v>
      </c>
      <c r="B41" s="1205" t="s">
        <v>33</v>
      </c>
      <c r="C41" s="335">
        <v>73</v>
      </c>
      <c r="D41" s="335">
        <v>1689573</v>
      </c>
      <c r="E41" s="335">
        <v>271</v>
      </c>
      <c r="F41" s="335">
        <v>1832479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9</v>
      </c>
      <c r="F44" s="335">
        <v>97388</v>
      </c>
    </row>
    <row r="45" spans="1:6">
      <c r="A45" s="1205" t="s">
        <v>32</v>
      </c>
      <c r="B45" s="1205" t="s">
        <v>37</v>
      </c>
      <c r="C45" s="335">
        <v>0</v>
      </c>
      <c r="D45" s="335">
        <v>0</v>
      </c>
      <c r="E45" s="335">
        <v>4</v>
      </c>
      <c r="F45" s="335">
        <v>12683</v>
      </c>
    </row>
    <row r="46" spans="1:6">
      <c r="A46" s="1205" t="s">
        <v>32</v>
      </c>
      <c r="B46" s="1205" t="s">
        <v>38</v>
      </c>
      <c r="C46" s="335">
        <v>0</v>
      </c>
      <c r="D46" s="335">
        <v>0</v>
      </c>
      <c r="E46" s="335">
        <v>0</v>
      </c>
      <c r="F46" s="335">
        <v>0</v>
      </c>
    </row>
    <row r="47" spans="1:6">
      <c r="A47" s="1205" t="s">
        <v>32</v>
      </c>
      <c r="B47" s="1205" t="s">
        <v>39</v>
      </c>
      <c r="C47" s="335">
        <v>4</v>
      </c>
      <c r="D47" s="335">
        <v>108073</v>
      </c>
      <c r="E47" s="335">
        <v>8</v>
      </c>
      <c r="F47" s="335">
        <v>42131</v>
      </c>
    </row>
    <row r="48" spans="1:6">
      <c r="A48" s="1205" t="s">
        <v>32</v>
      </c>
      <c r="B48" s="1205" t="s">
        <v>29</v>
      </c>
      <c r="C48" s="335">
        <v>6</v>
      </c>
      <c r="D48" s="335">
        <v>455763</v>
      </c>
      <c r="E48" s="335">
        <v>1</v>
      </c>
      <c r="F48" s="335">
        <v>110269</v>
      </c>
    </row>
    <row r="49" spans="1:6">
      <c r="A49" s="1205" t="s">
        <v>32</v>
      </c>
      <c r="B49" s="1205" t="s">
        <v>40</v>
      </c>
      <c r="C49" s="335">
        <v>0</v>
      </c>
      <c r="D49" s="335">
        <v>0</v>
      </c>
      <c r="E49" s="335">
        <v>0</v>
      </c>
      <c r="F49" s="335">
        <v>0</v>
      </c>
    </row>
    <row r="50" spans="1:6">
      <c r="A50" s="1205" t="s">
        <v>32</v>
      </c>
      <c r="B50" s="1205" t="s">
        <v>41</v>
      </c>
      <c r="C50" s="335">
        <v>15</v>
      </c>
      <c r="D50" s="335">
        <v>952859</v>
      </c>
      <c r="E50" s="335">
        <v>54</v>
      </c>
      <c r="F50" s="335">
        <v>1021502</v>
      </c>
    </row>
    <row r="51" spans="1:6">
      <c r="A51" s="1205" t="s">
        <v>42</v>
      </c>
      <c r="B51" s="1205" t="s">
        <v>43</v>
      </c>
      <c r="C51" s="335">
        <v>9</v>
      </c>
      <c r="D51" s="335">
        <v>1683644</v>
      </c>
      <c r="E51" s="335">
        <v>166</v>
      </c>
      <c r="F51" s="335">
        <v>2557895</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90</v>
      </c>
      <c r="F54" s="335">
        <v>2422073</v>
      </c>
    </row>
    <row r="55" spans="1:6">
      <c r="A55" s="1205" t="s">
        <v>46</v>
      </c>
      <c r="B55" s="1205" t="s">
        <v>29</v>
      </c>
      <c r="C55" s="335">
        <v>0</v>
      </c>
      <c r="D55" s="335">
        <v>0</v>
      </c>
      <c r="E55" s="335">
        <v>0</v>
      </c>
      <c r="F55" s="335">
        <v>0</v>
      </c>
    </row>
    <row r="56" spans="1:6">
      <c r="A56" s="1205" t="s">
        <v>48</v>
      </c>
      <c r="B56" s="1205" t="s">
        <v>29</v>
      </c>
      <c r="C56" s="335">
        <v>223</v>
      </c>
      <c r="D56" s="335">
        <v>4516981</v>
      </c>
      <c r="E56" s="335">
        <v>1081</v>
      </c>
      <c r="F56" s="335">
        <v>3944789</v>
      </c>
    </row>
    <row r="57" spans="1:6">
      <c r="A57" s="1205" t="s">
        <v>49</v>
      </c>
      <c r="B57" s="1205" t="s">
        <v>50</v>
      </c>
      <c r="C57" s="335">
        <v>43</v>
      </c>
      <c r="D57" s="335">
        <v>3280939</v>
      </c>
      <c r="E57" s="335">
        <v>135</v>
      </c>
      <c r="F57" s="335">
        <v>4003785</v>
      </c>
    </row>
    <row r="58" spans="1:6">
      <c r="A58" s="1205" t="s">
        <v>49</v>
      </c>
      <c r="B58" s="1205" t="s">
        <v>51</v>
      </c>
      <c r="C58" s="335">
        <v>16</v>
      </c>
      <c r="D58" s="335">
        <v>1007868</v>
      </c>
      <c r="E58" s="335">
        <v>28</v>
      </c>
      <c r="F58" s="335">
        <v>423476</v>
      </c>
    </row>
    <row r="59" spans="1:6">
      <c r="A59" s="1205" t="s">
        <v>49</v>
      </c>
      <c r="B59" s="1205" t="s">
        <v>52</v>
      </c>
      <c r="C59" s="335">
        <v>145</v>
      </c>
      <c r="D59" s="335">
        <v>5811028</v>
      </c>
      <c r="E59" s="335">
        <v>424</v>
      </c>
      <c r="F59" s="335">
        <v>10477464</v>
      </c>
    </row>
    <row r="60" spans="1:6">
      <c r="A60" s="1205" t="s">
        <v>49</v>
      </c>
      <c r="B60" s="1205" t="s">
        <v>53</v>
      </c>
      <c r="C60" s="335">
        <v>181</v>
      </c>
      <c r="D60" s="335">
        <v>10637626</v>
      </c>
      <c r="E60" s="335">
        <v>333</v>
      </c>
      <c r="F60" s="335">
        <v>11937462</v>
      </c>
    </row>
    <row r="61" spans="1:6">
      <c r="A61" s="1205" t="s">
        <v>49</v>
      </c>
      <c r="B61" s="1205" t="s">
        <v>54</v>
      </c>
      <c r="C61" s="335">
        <v>179</v>
      </c>
      <c r="D61" s="335">
        <v>13152373</v>
      </c>
      <c r="E61" s="335">
        <v>1050</v>
      </c>
      <c r="F61" s="335">
        <v>8408850</v>
      </c>
    </row>
    <row r="62" spans="1:6">
      <c r="A62" s="1205" t="s">
        <v>49</v>
      </c>
      <c r="B62" s="1205" t="s">
        <v>55</v>
      </c>
      <c r="C62" s="335">
        <v>4</v>
      </c>
      <c r="D62" s="335">
        <v>369827</v>
      </c>
      <c r="E62" s="335">
        <v>9</v>
      </c>
      <c r="F62" s="335">
        <v>183580</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1</v>
      </c>
      <c r="D65" s="335">
        <v>8079</v>
      </c>
      <c r="E65" s="335">
        <v>2</v>
      </c>
      <c r="F65" s="335">
        <v>5440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26</v>
      </c>
      <c r="F68" s="335">
        <v>2084613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75325231</v>
      </c>
      <c r="E73" s="335">
        <v>87910118.316652894</v>
      </c>
    </row>
    <row r="74" spans="1:6">
      <c r="A74" s="1205" t="s">
        <v>64</v>
      </c>
      <c r="B74" s="1205" t="s">
        <v>772</v>
      </c>
      <c r="C74" s="1216" t="s">
        <v>766</v>
      </c>
      <c r="D74" s="335">
        <v>8453836.6999380123</v>
      </c>
      <c r="E74" s="335">
        <v>10601994.8892051</v>
      </c>
    </row>
    <row r="75" spans="1:6">
      <c r="A75" s="1205" t="s">
        <v>65</v>
      </c>
      <c r="B75" s="1205" t="s">
        <v>771</v>
      </c>
      <c r="C75" s="1216" t="s">
        <v>767</v>
      </c>
      <c r="D75" s="335">
        <v>5649026</v>
      </c>
      <c r="E75" s="335">
        <v>7383244.6820991067</v>
      </c>
    </row>
    <row r="76" spans="1:6">
      <c r="A76" s="1205" t="s">
        <v>65</v>
      </c>
      <c r="B76" s="1205" t="s">
        <v>772</v>
      </c>
      <c r="C76" s="1216" t="s">
        <v>768</v>
      </c>
      <c r="D76" s="335">
        <v>158343.69993801246</v>
      </c>
      <c r="E76" s="335">
        <v>298231.48913777003</v>
      </c>
    </row>
    <row r="77" spans="1:6">
      <c r="A77" s="1205" t="s">
        <v>66</v>
      </c>
      <c r="B77" s="1205" t="s">
        <v>771</v>
      </c>
      <c r="C77" s="1216" t="s">
        <v>769</v>
      </c>
      <c r="D77" s="335">
        <v>67784830</v>
      </c>
      <c r="E77" s="335">
        <v>79000057.514706835</v>
      </c>
    </row>
    <row r="78" spans="1:6">
      <c r="A78" s="1201" t="s">
        <v>66</v>
      </c>
      <c r="B78" s="1201" t="s">
        <v>772</v>
      </c>
      <c r="C78" s="1201" t="s">
        <v>770</v>
      </c>
      <c r="D78" s="1201">
        <v>17491631</v>
      </c>
      <c r="E78" s="1201">
        <v>22086963.994549084</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451734.60012397508</v>
      </c>
      <c r="C83" s="335">
        <v>426368.95069040911</v>
      </c>
    </row>
    <row r="84" spans="1:6">
      <c r="A84" s="1201" t="s">
        <v>337</v>
      </c>
      <c r="B84" s="338">
        <v>468374.89115286118</v>
      </c>
      <c r="C84" s="338">
        <v>473660.0340676721</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3906.903548981617</v>
      </c>
    </row>
    <row r="91" spans="1:6">
      <c r="A91" s="1205" t="s">
        <v>68</v>
      </c>
      <c r="B91" s="335">
        <v>2270.6748542651389</v>
      </c>
    </row>
    <row r="92" spans="1:6">
      <c r="A92" s="1201" t="s">
        <v>69</v>
      </c>
      <c r="B92" s="338">
        <v>2045.147406101227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3729</v>
      </c>
    </row>
    <row r="98" spans="1:6">
      <c r="A98" s="1205" t="s">
        <v>72</v>
      </c>
      <c r="B98" s="335">
        <v>1</v>
      </c>
    </row>
    <row r="99" spans="1:6">
      <c r="A99" s="1205" t="s">
        <v>73</v>
      </c>
      <c r="B99" s="335">
        <v>109</v>
      </c>
    </row>
    <row r="100" spans="1:6">
      <c r="A100" s="1205" t="s">
        <v>74</v>
      </c>
      <c r="B100" s="335">
        <v>1582</v>
      </c>
    </row>
    <row r="101" spans="1:6">
      <c r="A101" s="1205" t="s">
        <v>75</v>
      </c>
      <c r="B101" s="335">
        <v>78</v>
      </c>
    </row>
    <row r="102" spans="1:6">
      <c r="A102" s="1205" t="s">
        <v>76</v>
      </c>
      <c r="B102" s="335">
        <v>201</v>
      </c>
    </row>
    <row r="103" spans="1:6">
      <c r="A103" s="1205" t="s">
        <v>77</v>
      </c>
      <c r="B103" s="335">
        <v>138</v>
      </c>
    </row>
    <row r="104" spans="1:6">
      <c r="A104" s="1205" t="s">
        <v>78</v>
      </c>
      <c r="B104" s="335">
        <v>1599</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7</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21</v>
      </c>
    </row>
    <row r="130" spans="1:6">
      <c r="A130" s="1205" t="s">
        <v>295</v>
      </c>
      <c r="B130" s="335">
        <v>4</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103342.00324103412</v>
      </c>
      <c r="C3" s="44" t="s">
        <v>170</v>
      </c>
      <c r="D3" s="44"/>
      <c r="E3" s="157"/>
      <c r="F3" s="44"/>
      <c r="G3" s="44"/>
      <c r="H3" s="44"/>
      <c r="I3" s="44"/>
      <c r="J3" s="44"/>
      <c r="K3" s="97"/>
    </row>
    <row r="4" spans="1:11">
      <c r="A4" s="365" t="s">
        <v>171</v>
      </c>
      <c r="B4" s="50">
        <f>IF(ISERROR('SEAP template'!B69),0,'SEAP template'!B69)</f>
        <v>8222.7258093479832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0.20341545212136611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2422.0729999999999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2422.0729999999999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0.20341545212136611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492.68707436595355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55886.14</v>
      </c>
      <c r="C5" s="18">
        <f>IF(ISERROR('Eigen informatie GS &amp; warmtenet'!B57),0,'Eigen informatie GS &amp; warmtenet'!B57)</f>
        <v>0</v>
      </c>
      <c r="D5" s="31">
        <f>(SUM(HH_hh_gas_kWh,HH_rest_gas_kWh)/1000)*0.902</f>
        <v>88511.976454000003</v>
      </c>
      <c r="E5" s="18">
        <f>B46*B57</f>
        <v>1421.6300178526708</v>
      </c>
      <c r="F5" s="18">
        <f>B51*B62</f>
        <v>0</v>
      </c>
      <c r="G5" s="19"/>
      <c r="H5" s="18"/>
      <c r="I5" s="18"/>
      <c r="J5" s="18">
        <f>B50*B61+C50*C61</f>
        <v>0</v>
      </c>
      <c r="K5" s="18"/>
      <c r="L5" s="18"/>
      <c r="M5" s="18"/>
      <c r="N5" s="18">
        <f>B48*B59+C48*C59</f>
        <v>3303.7678630139526</v>
      </c>
      <c r="O5" s="18">
        <f>B69*B70*B71</f>
        <v>43.773333333333341</v>
      </c>
      <c r="P5" s="18">
        <f>B77*B78*B79/1000-B77*B78*B79/1000/B80</f>
        <v>247.86666666666667</v>
      </c>
    </row>
    <row r="6" spans="1:16">
      <c r="A6" s="17" t="s">
        <v>639</v>
      </c>
      <c r="B6" s="831">
        <f>kWh_PV_kleiner_dan_10kW</f>
        <v>2270.6748542651389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58156.81485426514</v>
      </c>
      <c r="C8" s="22">
        <f>C5</f>
        <v>0</v>
      </c>
      <c r="D8" s="22">
        <f>D5</f>
        <v>88511.976454000003</v>
      </c>
      <c r="E8" s="22">
        <f>E5</f>
        <v>1421.6300178526708</v>
      </c>
      <c r="F8" s="22">
        <f>F5</f>
        <v>0</v>
      </c>
      <c r="G8" s="22"/>
      <c r="H8" s="22"/>
      <c r="I8" s="22"/>
      <c r="J8" s="22">
        <f>J5</f>
        <v>0</v>
      </c>
      <c r="K8" s="22"/>
      <c r="L8" s="22">
        <f>L5</f>
        <v>0</v>
      </c>
      <c r="M8" s="22">
        <f>M5</f>
        <v>0</v>
      </c>
      <c r="N8" s="22">
        <f>N5</f>
        <v>3303.7678630139526</v>
      </c>
      <c r="O8" s="22">
        <f>O5</f>
        <v>43.773333333333341</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0.20341545212136611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11829.994787518925</v>
      </c>
      <c r="C12" s="24">
        <f ca="1">C10*C8</f>
        <v>0</v>
      </c>
      <c r="D12" s="24">
        <f>D8*D10</f>
        <v>17879.419243708002</v>
      </c>
      <c r="E12" s="24">
        <f>E10*E8</f>
        <v>322.71001405255629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3729</v>
      </c>
      <c r="C18" s="169" t="s">
        <v>111</v>
      </c>
      <c r="D18" s="231"/>
      <c r="E18" s="16"/>
    </row>
    <row r="19" spans="1:7">
      <c r="A19" s="174" t="s">
        <v>72</v>
      </c>
      <c r="B19" s="38">
        <f>aantalw2001_ander</f>
        <v>1</v>
      </c>
      <c r="C19" s="169" t="s">
        <v>111</v>
      </c>
      <c r="D19" s="232"/>
      <c r="E19" s="16"/>
    </row>
    <row r="20" spans="1:7">
      <c r="A20" s="174" t="s">
        <v>73</v>
      </c>
      <c r="B20" s="38">
        <f>aantalw2001_propaan</f>
        <v>109</v>
      </c>
      <c r="C20" s="170">
        <f>IF(ISERROR(B20/SUM($B$20,$B$21,$B$22)*100),0,B20/SUM($B$20,$B$21,$B$22)*100)</f>
        <v>6.1616732617297911</v>
      </c>
      <c r="D20" s="232"/>
      <c r="E20" s="16"/>
    </row>
    <row r="21" spans="1:7">
      <c r="A21" s="174" t="s">
        <v>74</v>
      </c>
      <c r="B21" s="38">
        <f>aantalw2001_elektriciteit</f>
        <v>1582</v>
      </c>
      <c r="C21" s="170">
        <f>IF(ISERROR(B21/SUM($B$20,$B$21,$B$22)*100),0,B21/SUM($B$20,$B$21,$B$22)*100)</f>
        <v>89.429055963821369</v>
      </c>
      <c r="D21" s="232"/>
      <c r="E21" s="16"/>
    </row>
    <row r="22" spans="1:7">
      <c r="A22" s="174" t="s">
        <v>75</v>
      </c>
      <c r="B22" s="38">
        <f>aantalw2001_hout</f>
        <v>78</v>
      </c>
      <c r="C22" s="170">
        <f>IF(ISERROR(B22/SUM($B$20,$B$21,$B$22)*100),0,B22/SUM($B$20,$B$21,$B$22)*100)</f>
        <v>4.4092707744488413</v>
      </c>
      <c r="D22" s="232"/>
      <c r="E22" s="16"/>
    </row>
    <row r="23" spans="1:7">
      <c r="A23" s="174" t="s">
        <v>76</v>
      </c>
      <c r="B23" s="38">
        <f>aantalw2001_niet_gespec</f>
        <v>201</v>
      </c>
      <c r="C23" s="169" t="s">
        <v>111</v>
      </c>
      <c r="D23" s="231"/>
      <c r="E23" s="16"/>
    </row>
    <row r="24" spans="1:7">
      <c r="A24" s="174" t="s">
        <v>77</v>
      </c>
      <c r="B24" s="38">
        <f>aantalw2001_steenkool</f>
        <v>138</v>
      </c>
      <c r="C24" s="169" t="s">
        <v>111</v>
      </c>
      <c r="D24" s="232"/>
      <c r="E24" s="16"/>
    </row>
    <row r="25" spans="1:7">
      <c r="A25" s="174" t="s">
        <v>78</v>
      </c>
      <c r="B25" s="38">
        <f>aantalw2001_stookolie</f>
        <v>1599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9462</v>
      </c>
      <c r="C28" s="37"/>
      <c r="D28" s="231"/>
    </row>
    <row r="29" spans="1:7" s="16" customFormat="1">
      <c r="A29" s="233" t="s">
        <v>666</v>
      </c>
      <c r="B29" s="38">
        <f>SUM(HH_hh_gas_aantal,HH_rest_gas_aantal)</f>
        <v>8402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8402</v>
      </c>
      <c r="C32" s="170">
        <f>IF(ISERROR(B32/SUM($B$32,$B$34,$B$35,$B$36,$B$38,$B$39)*100),0,B32/SUM($B$32,$B$34,$B$35,$B$36,$B$38,$B$39)*100)</f>
        <v>88.919462376971097</v>
      </c>
      <c r="D32" s="236"/>
      <c r="G32" s="16"/>
    </row>
    <row r="33" spans="1:7">
      <c r="A33" s="174" t="s">
        <v>72</v>
      </c>
      <c r="B33" s="35" t="s">
        <v>111</v>
      </c>
      <c r="C33" s="170"/>
      <c r="D33" s="236"/>
      <c r="G33" s="16"/>
    </row>
    <row r="34" spans="1:7">
      <c r="A34" s="174" t="s">
        <v>73</v>
      </c>
      <c r="B34" s="34">
        <f>IF((($B$28-$B$32-$B$39-$B$77-$B$38)*C20/100)&lt;0,0,($B$28-$B$32-$B$39-$B$77-$B$38)*C20/100)</f>
        <v>64.51271905031092</v>
      </c>
      <c r="C34" s="170">
        <f>IF(ISERROR(B34/SUM($B$32,$B$34,$B$35,$B$36,$B$38,$B$39)*100),0,B34/SUM($B$32,$B$34,$B$35,$B$36,$B$38,$B$39)*100)</f>
        <v>0.68274652397408109</v>
      </c>
      <c r="D34" s="236"/>
      <c r="G34" s="16"/>
    </row>
    <row r="35" spans="1:7">
      <c r="A35" s="174" t="s">
        <v>74</v>
      </c>
      <c r="B35" s="34">
        <f>IF((($B$28-$B$32-$B$39-$B$77-$B$38)*C21/100)&lt;0,0,($B$28-$B$32-$B$39-$B$77-$B$38)*C21/100)</f>
        <v>936.32221594120972</v>
      </c>
      <c r="C35" s="170">
        <f>IF(ISERROR(B35/SUM($B$32,$B$34,$B$35,$B$36,$B$38,$B$39)*100),0,B35/SUM($B$32,$B$34,$B$35,$B$36,$B$38,$B$39)*100)</f>
        <v>9.909220191990789</v>
      </c>
      <c r="D35" s="236"/>
      <c r="G35" s="16"/>
    </row>
    <row r="36" spans="1:7">
      <c r="A36" s="174" t="s">
        <v>75</v>
      </c>
      <c r="B36" s="34">
        <f>IF((($B$28-$B$32-$B$39-$B$77-$B$38)*C22/100)&lt;0,0,($B$28-$B$32-$B$39-$B$77-$B$38)*C22/100)</f>
        <v>46.165065008479367</v>
      </c>
      <c r="C36" s="170">
        <f>IF(ISERROR(B36/SUM($B$32,$B$34,$B$35,$B$36,$B$38,$B$39)*100),0,B36/SUM($B$32,$B$34,$B$35,$B$36,$B$38,$B$39)*100)</f>
        <v>0.48857090706402129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8402</v>
      </c>
      <c r="C44" s="35" t="s">
        <v>111</v>
      </c>
      <c r="D44" s="177"/>
    </row>
    <row r="45" spans="1:7">
      <c r="A45" s="174" t="s">
        <v>72</v>
      </c>
      <c r="B45" s="34" t="str">
        <f t="shared" si="0"/>
        <v>-</v>
      </c>
      <c r="C45" s="35" t="s">
        <v>111</v>
      </c>
      <c r="D45" s="177"/>
    </row>
    <row r="46" spans="1:7">
      <c r="A46" s="174" t="s">
        <v>73</v>
      </c>
      <c r="B46" s="34">
        <f t="shared" si="0"/>
        <v>64.51271905031092</v>
      </c>
      <c r="C46" s="35" t="s">
        <v>111</v>
      </c>
      <c r="D46" s="177"/>
    </row>
    <row r="47" spans="1:7">
      <c r="A47" s="174" t="s">
        <v>74</v>
      </c>
      <c r="B47" s="34">
        <f t="shared" si="0"/>
        <v>936.32221594120972</v>
      </c>
      <c r="C47" s="35" t="s">
        <v>111</v>
      </c>
      <c r="D47" s="177"/>
    </row>
    <row r="48" spans="1:7">
      <c r="A48" s="174" t="s">
        <v>75</v>
      </c>
      <c r="B48" s="34">
        <f t="shared" si="0"/>
        <v>46.165065008479367</v>
      </c>
      <c r="C48" s="34">
        <f>B48*10</f>
        <v>461.65065008479365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35434.616999999998</v>
      </c>
      <c r="C5" s="18">
        <f>IF(ISERROR('Eigen informatie GS &amp; warmtenet'!B58),0,'Eigen informatie GS &amp; warmtenet'!B58)</f>
        <v>0</v>
      </c>
      <c r="D5" s="31">
        <f>SUM(D6:D12)</f>
        <v>30902.214222000006</v>
      </c>
      <c r="E5" s="18">
        <f>SUM(E6:E12)</f>
        <v>722.97873804236031</v>
      </c>
      <c r="F5" s="18">
        <f>SUM(F6:F12)</f>
        <v>7240.4620275073821</v>
      </c>
      <c r="G5" s="19"/>
      <c r="H5" s="18"/>
      <c r="I5" s="18"/>
      <c r="J5" s="18">
        <f>SUM(J6:J12)</f>
        <v>0</v>
      </c>
      <c r="K5" s="18"/>
      <c r="L5" s="18"/>
      <c r="M5" s="18"/>
      <c r="N5" s="18">
        <f>SUM(N6:N12)</f>
        <v>2368.9632607474491</v>
      </c>
      <c r="O5" s="18">
        <f>B38*B39*B40</f>
        <v>6.2533333333333339</v>
      </c>
      <c r="P5" s="18">
        <f>B46*B47*B48/1000-B46*B47*B48/1000/B49</f>
        <v>0</v>
      </c>
      <c r="R5" s="33"/>
    </row>
    <row r="6" spans="1:18">
      <c r="A6" s="33" t="s">
        <v>54</v>
      </c>
      <c r="B6" s="38">
        <f>B26</f>
        <v>8408.85</v>
      </c>
      <c r="C6" s="34"/>
      <c r="D6" s="38">
        <f>IF(ISERROR(TER_kantoor_gas_kWh/1000),0,TER_kantoor_gas_kWh/1000)*0.902</f>
        <v>11863.440446000001</v>
      </c>
      <c r="E6" s="34">
        <f>$C$26*'E Balans VL '!I12/100/3.6*1000000</f>
        <v>13.80062712081269</v>
      </c>
      <c r="F6" s="34">
        <f>$C$26*('E Balans VL '!L12+'E Balans VL '!N12)/100/3.6*1000000</f>
        <v>991.20556550362676</v>
      </c>
      <c r="G6" s="35"/>
      <c r="H6" s="34"/>
      <c r="I6" s="34"/>
      <c r="J6" s="34">
        <f>$C$26*('E Balans VL '!D12+'E Balans VL '!E12)/100/3.6*1000000</f>
        <v>0</v>
      </c>
      <c r="K6" s="34"/>
      <c r="L6" s="34"/>
      <c r="M6" s="34"/>
      <c r="N6" s="34">
        <f>$C$26*'E Balans VL '!Y12/100/3.6*1000000</f>
        <v>1.6989683233353587</v>
      </c>
      <c r="O6" s="34"/>
      <c r="P6" s="34"/>
      <c r="R6" s="33"/>
    </row>
    <row r="7" spans="1:18">
      <c r="A7" s="33" t="s">
        <v>53</v>
      </c>
      <c r="B7" s="38">
        <f t="shared" ref="B7:B12" si="0">B27</f>
        <v>11937.462</v>
      </c>
      <c r="C7" s="34"/>
      <c r="D7" s="38">
        <f>IF(ISERROR(TER_horeca_gas_kWh/1000),0,TER_horeca_gas_kWh/1000)*0.902</f>
        <v>9595.1386519999996</v>
      </c>
      <c r="E7" s="34">
        <f>$C$27*'E Balans VL '!I9/100/3.6*1000000</f>
        <v>619.46789647647654</v>
      </c>
      <c r="F7" s="34">
        <f>$C$27*('E Balans VL '!L9+'E Balans VL '!N9)/100/3.6*1000000</f>
        <v>2724.137490265357</v>
      </c>
      <c r="G7" s="35"/>
      <c r="H7" s="34"/>
      <c r="I7" s="34"/>
      <c r="J7" s="34">
        <f>$C$27*('E Balans VL '!D9+'E Balans VL '!E9)/100/3.6*1000000</f>
        <v>0</v>
      </c>
      <c r="K7" s="34"/>
      <c r="L7" s="34"/>
      <c r="M7" s="34"/>
      <c r="N7" s="34">
        <f>$C$27*'E Balans VL '!Y9/100/3.6*1000000</f>
        <v>1.2605905166193714</v>
      </c>
      <c r="O7" s="34"/>
      <c r="P7" s="34"/>
      <c r="R7" s="33"/>
    </row>
    <row r="8" spans="1:18">
      <c r="A8" s="6" t="s">
        <v>52</v>
      </c>
      <c r="B8" s="38">
        <f t="shared" si="0"/>
        <v>10477.464</v>
      </c>
      <c r="C8" s="34"/>
      <c r="D8" s="38">
        <f>IF(ISERROR(TER_handel_gas_kWh/1000),0,TER_handel_gas_kWh/1000)*0.902</f>
        <v>5241.5472560000007</v>
      </c>
      <c r="E8" s="34">
        <f>$C$28*'E Balans VL '!I13/100/3.6*1000000</f>
        <v>56.422431149201785</v>
      </c>
      <c r="F8" s="34">
        <f>$C$28*('E Balans VL '!L13+'E Balans VL '!N13)/100/3.6*1000000</f>
        <v>2136.6662717866957</v>
      </c>
      <c r="G8" s="35"/>
      <c r="H8" s="34"/>
      <c r="I8" s="34"/>
      <c r="J8" s="34">
        <f>$C$28*('E Balans VL '!D13+'E Balans VL '!E13)/100/3.6*1000000</f>
        <v>0</v>
      </c>
      <c r="K8" s="34"/>
      <c r="L8" s="34"/>
      <c r="M8" s="34"/>
      <c r="N8" s="34">
        <f>$C$28*'E Balans VL '!Y13/100/3.6*1000000</f>
        <v>52.098895481784979</v>
      </c>
      <c r="O8" s="34"/>
      <c r="P8" s="34"/>
      <c r="R8" s="33"/>
    </row>
    <row r="9" spans="1:18">
      <c r="A9" s="33" t="s">
        <v>51</v>
      </c>
      <c r="B9" s="38">
        <f t="shared" si="0"/>
        <v>423.476</v>
      </c>
      <c r="C9" s="34"/>
      <c r="D9" s="38">
        <f>IF(ISERROR(TER_gezond_gas_kWh/1000),0,TER_gezond_gas_kWh/1000)*0.902</f>
        <v>909.09693600000003</v>
      </c>
      <c r="E9" s="34">
        <f>$C$29*'E Balans VL '!I10/100/3.6*1000000</f>
        <v>0.4196695317491414</v>
      </c>
      <c r="F9" s="34">
        <f>$C$29*('E Balans VL '!L10+'E Balans VL '!N10)/100/3.6*1000000</f>
        <v>146.93396577258403</v>
      </c>
      <c r="G9" s="35"/>
      <c r="H9" s="34"/>
      <c r="I9" s="34"/>
      <c r="J9" s="34">
        <f>$C$29*('E Balans VL '!D10+'E Balans VL '!E10)/100/3.6*1000000</f>
        <v>0</v>
      </c>
      <c r="K9" s="34"/>
      <c r="L9" s="34"/>
      <c r="M9" s="34"/>
      <c r="N9" s="34">
        <f>$C$29*'E Balans VL '!Y10/100/3.6*1000000</f>
        <v>3.6490560064500013</v>
      </c>
      <c r="O9" s="34"/>
      <c r="P9" s="34"/>
      <c r="R9" s="33"/>
    </row>
    <row r="10" spans="1:18">
      <c r="A10" s="33" t="s">
        <v>50</v>
      </c>
      <c r="B10" s="38">
        <f t="shared" si="0"/>
        <v>4003.7849999999999</v>
      </c>
      <c r="C10" s="34"/>
      <c r="D10" s="38">
        <f>IF(ISERROR(TER_ander_gas_kWh/1000),0,TER_ander_gas_kWh/1000)*0.902</f>
        <v>2959.406978</v>
      </c>
      <c r="E10" s="34">
        <f>$C$30*'E Balans VL '!I14/100/3.6*1000000</f>
        <v>32.754962798129455</v>
      </c>
      <c r="F10" s="34">
        <f>$C$30*('E Balans VL '!L14+'E Balans VL '!N14)/100/3.6*1000000</f>
        <v>1170.5437331617259</v>
      </c>
      <c r="G10" s="35"/>
      <c r="H10" s="34"/>
      <c r="I10" s="34"/>
      <c r="J10" s="34">
        <f>$C$30*('E Balans VL '!D14+'E Balans VL '!E14)/100/3.6*1000000</f>
        <v>0</v>
      </c>
      <c r="K10" s="34"/>
      <c r="L10" s="34"/>
      <c r="M10" s="34"/>
      <c r="N10" s="34">
        <f>$C$30*'E Balans VL '!Y14/100/3.6*1000000</f>
        <v>2309.6586040196134</v>
      </c>
      <c r="O10" s="34"/>
      <c r="P10" s="34"/>
      <c r="R10" s="33"/>
    </row>
    <row r="11" spans="1:18">
      <c r="A11" s="33" t="s">
        <v>55</v>
      </c>
      <c r="B11" s="38">
        <f t="shared" si="0"/>
        <v>183.58</v>
      </c>
      <c r="C11" s="34"/>
      <c r="D11" s="38">
        <f>IF(ISERROR(TER_onderwijs_gas_kWh/1000),0,TER_onderwijs_gas_kWh/1000)*0.902</f>
        <v>333.58395400000001</v>
      </c>
      <c r="E11" s="34">
        <f>$C$31*'E Balans VL '!I11/100/3.6*1000000</f>
        <v>0.11315096599076212</v>
      </c>
      <c r="F11" s="34">
        <f>$C$31*('E Balans VL '!L11+'E Balans VL '!N11)/100/3.6*1000000</f>
        <v>70.975001017392813</v>
      </c>
      <c r="G11" s="35"/>
      <c r="H11" s="34"/>
      <c r="I11" s="34"/>
      <c r="J11" s="34">
        <f>$C$31*('E Balans VL '!D11+'E Balans VL '!E11)/100/3.6*1000000</f>
        <v>0</v>
      </c>
      <c r="K11" s="34"/>
      <c r="L11" s="34"/>
      <c r="M11" s="34"/>
      <c r="N11" s="34">
        <f>$C$31*'E Balans VL '!Y11/100/3.6*1000000</f>
        <v>0.59714639964597316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35434.616999999998</v>
      </c>
      <c r="C16" s="22">
        <f t="shared" ca="1" si="1"/>
        <v>0</v>
      </c>
      <c r="D16" s="22">
        <f t="shared" ca="1" si="1"/>
        <v>30902.214222000006</v>
      </c>
      <c r="E16" s="22">
        <f t="shared" si="1"/>
        <v>722.97873804236031</v>
      </c>
      <c r="F16" s="22">
        <f t="shared" ca="1" si="1"/>
        <v>7240.4620275073821</v>
      </c>
      <c r="G16" s="22">
        <f t="shared" si="1"/>
        <v>0</v>
      </c>
      <c r="H16" s="22">
        <f t="shared" si="1"/>
        <v>0</v>
      </c>
      <c r="I16" s="22">
        <f t="shared" si="1"/>
        <v>0</v>
      </c>
      <c r="J16" s="22">
        <f t="shared" si="1"/>
        <v>0</v>
      </c>
      <c r="K16" s="22">
        <f t="shared" si="1"/>
        <v>0</v>
      </c>
      <c r="L16" s="22">
        <f t="shared" ca="1" si="1"/>
        <v>0</v>
      </c>
      <c r="M16" s="22">
        <f t="shared" si="1"/>
        <v>0</v>
      </c>
      <c r="N16" s="22">
        <f t="shared" ca="1" si="1"/>
        <v>2368.9632607474491</v>
      </c>
      <c r="O16" s="22">
        <f>O5</f>
        <v>6.2533333333333339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0.20341545212136611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7207.9486378024449</v>
      </c>
      <c r="C20" s="24">
        <f t="shared" ref="C20:P20" ca="1" si="2">C16*C18</f>
        <v>0</v>
      </c>
      <c r="D20" s="24">
        <f t="shared" ca="1" si="2"/>
        <v>6242.2472728440016</v>
      </c>
      <c r="E20" s="24">
        <f t="shared" si="2"/>
        <v>164.11617353561579</v>
      </c>
      <c r="F20" s="24">
        <f t="shared" ca="1" si="2"/>
        <v>1933.2033613444712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8408.85</v>
      </c>
      <c r="C26" s="40">
        <f>IF(ISERROR(B26*3.6/1000000/'E Balans VL '!Z12*100),0,B26*3.6/1000000/'E Balans VL '!Z12*100)</f>
        <v>0.17868203225262319</v>
      </c>
      <c r="D26" s="240" t="s">
        <v>707</v>
      </c>
      <c r="F26" s="6"/>
    </row>
    <row r="27" spans="1:18">
      <c r="A27" s="234" t="s">
        <v>53</v>
      </c>
      <c r="B27" s="34">
        <f>IF(ISERROR(TER_horeca_ele_kWh/1000),0,TER_horeca_ele_kWh/1000)</f>
        <v>11937.462</v>
      </c>
      <c r="C27" s="40">
        <f>IF(ISERROR(B27*3.6/1000000/'E Balans VL '!Z9*100),0,B27*3.6/1000000/'E Balans VL '!Z9*100)</f>
        <v>0.93957057139332034</v>
      </c>
      <c r="D27" s="240" t="s">
        <v>707</v>
      </c>
      <c r="F27" s="6"/>
    </row>
    <row r="28" spans="1:18">
      <c r="A28" s="174" t="s">
        <v>52</v>
      </c>
      <c r="B28" s="34">
        <f>IF(ISERROR(TER_handel_ele_kWh/1000),0,TER_handel_ele_kWh/1000)</f>
        <v>10477.464</v>
      </c>
      <c r="C28" s="40">
        <f>IF(ISERROR(B28*3.6/1000000/'E Balans VL '!Z13*100),0,B28*3.6/1000000/'E Balans VL '!Z13*100)</f>
        <v>0.29347937395735751</v>
      </c>
      <c r="D28" s="240" t="s">
        <v>707</v>
      </c>
      <c r="F28" s="6"/>
    </row>
    <row r="29" spans="1:18">
      <c r="A29" s="234" t="s">
        <v>51</v>
      </c>
      <c r="B29" s="34">
        <f>IF(ISERROR(TER_gezond_ele_kWh/1000),0,TER_gezond_ele_kWh/1000)</f>
        <v>423.476</v>
      </c>
      <c r="C29" s="40">
        <f>IF(ISERROR(B29*3.6/1000000/'E Balans VL '!Z10*100),0,B29*3.6/1000000/'E Balans VL '!Z10*100)</f>
        <v>5.4175385798510362E-2</v>
      </c>
      <c r="D29" s="240" t="s">
        <v>707</v>
      </c>
      <c r="F29" s="6"/>
    </row>
    <row r="30" spans="1:18">
      <c r="A30" s="234" t="s">
        <v>50</v>
      </c>
      <c r="B30" s="34">
        <f>IF(ISERROR(TER_ander_ele_kWh/1000),0,TER_ander_ele_kWh/1000)</f>
        <v>4003.7849999999999</v>
      </c>
      <c r="C30" s="40">
        <f>IF(ISERROR(B30*3.6/1000000/'E Balans VL '!Z14*100),0,B30*3.6/1000000/'E Balans VL '!Z14*100)</f>
        <v>0.29944938151825073</v>
      </c>
      <c r="D30" s="240" t="s">
        <v>707</v>
      </c>
      <c r="F30" s="6"/>
    </row>
    <row r="31" spans="1:18">
      <c r="A31" s="234" t="s">
        <v>55</v>
      </c>
      <c r="B31" s="34">
        <f>IF(ISERROR(TER_onderwijs_ele_kWh/1000),0,TER_onderwijs_ele_kWh/1000)</f>
        <v>183.58</v>
      </c>
      <c r="C31" s="40">
        <f>IF(ISERROR(B31*3.6/1000000/'E Balans VL '!Z11*100),0,B31*3.6/1000000/'E Balans VL '!Z11*100)</f>
        <v>3.8763154796882394E-2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3116.4519999999993</v>
      </c>
      <c r="C5" s="18">
        <f>IF(ISERROR('Eigen informatie GS &amp; warmtenet'!B59),0,'Eigen informatie GS &amp; warmtenet'!B59)</f>
        <v>0</v>
      </c>
      <c r="D5" s="31">
        <f>SUM(D6:D15)</f>
        <v>2892.0537360000003</v>
      </c>
      <c r="E5" s="18">
        <f>SUM(E6:E15)</f>
        <v>24.270357210850655</v>
      </c>
      <c r="F5" s="18">
        <f>SUM(F6:F15)</f>
        <v>1616.3037939948917</v>
      </c>
      <c r="G5" s="19"/>
      <c r="H5" s="18"/>
      <c r="I5" s="18"/>
      <c r="J5" s="18">
        <f>SUM(J6:J15)</f>
        <v>2.4126587238723149</v>
      </c>
      <c r="K5" s="18"/>
      <c r="L5" s="18"/>
      <c r="M5" s="18"/>
      <c r="N5" s="18">
        <f>SUM(N6:N15)</f>
        <v>173.1867873151775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97.388000000000005</v>
      </c>
      <c r="C8" s="34"/>
      <c r="D8" s="38">
        <f>IF( ISERROR(IND_metaal_Gas_kWH/1000),0,IND_metaal_Gas_kWH/1000)*0.902</f>
        <v>0</v>
      </c>
      <c r="E8" s="34">
        <f>C30*'E Balans VL '!I18/100/3.6*1000000</f>
        <v>0.88689496547922642</v>
      </c>
      <c r="F8" s="34">
        <f>C30*'E Balans VL '!L18/100/3.6*1000000+C30*'E Balans VL '!N18/100/3.6*1000000</f>
        <v>12.844737622825363</v>
      </c>
      <c r="G8" s="35"/>
      <c r="H8" s="34"/>
      <c r="I8" s="34"/>
      <c r="J8" s="41">
        <f>C30*'E Balans VL '!D18/100/3.6*1000000+C30*'E Balans VL '!E18/100/3.6*1000000</f>
        <v>1.5970217977157437</v>
      </c>
      <c r="K8" s="34"/>
      <c r="L8" s="34"/>
      <c r="M8" s="34"/>
      <c r="N8" s="34">
        <f>C30*'E Balans VL '!Y18/100/3.6*1000000</f>
        <v>0.33468386871624034</v>
      </c>
      <c r="O8" s="34"/>
      <c r="P8" s="34"/>
      <c r="R8" s="33"/>
    </row>
    <row r="9" spans="1:18">
      <c r="A9" s="6" t="s">
        <v>33</v>
      </c>
      <c r="B9" s="38">
        <f t="shared" si="0"/>
        <v>1832.479</v>
      </c>
      <c r="C9" s="34"/>
      <c r="D9" s="38">
        <f>IF( ISERROR(IND_andere_gas_kWh/1000),0,IND_andere_gas_kWh/1000)*0.902</f>
        <v>1523.9948460000001</v>
      </c>
      <c r="E9" s="34">
        <f>C31*'E Balans VL '!I19/100/3.6*1000000</f>
        <v>10.592002461336316</v>
      </c>
      <c r="F9" s="34">
        <f>C31*'E Balans VL '!L19/100/3.6*1000000+C31*'E Balans VL '!N19/100/3.6*1000000</f>
        <v>1457.8252199002516</v>
      </c>
      <c r="G9" s="35"/>
      <c r="H9" s="34"/>
      <c r="I9" s="34"/>
      <c r="J9" s="41">
        <f>C31*'E Balans VL '!D19/100/3.6*1000000+C31*'E Balans VL '!E19/100/3.6*1000000</f>
        <v>0.17333215879978756</v>
      </c>
      <c r="K9" s="34"/>
      <c r="L9" s="34"/>
      <c r="M9" s="34"/>
      <c r="N9" s="34">
        <f>C31*'E Balans VL '!Y19/100/3.6*1000000</f>
        <v>138.83801571773708</v>
      </c>
      <c r="O9" s="34"/>
      <c r="P9" s="34"/>
      <c r="R9" s="33"/>
    </row>
    <row r="10" spans="1:18">
      <c r="A10" s="6" t="s">
        <v>41</v>
      </c>
      <c r="B10" s="38">
        <f t="shared" si="0"/>
        <v>1021.502</v>
      </c>
      <c r="C10" s="34"/>
      <c r="D10" s="38">
        <f>IF( ISERROR(IND_voed_gas_kWh/1000),0,IND_voed_gas_kWh/1000)*0.902</f>
        <v>859.47881800000005</v>
      </c>
      <c r="E10" s="34">
        <f>C32*'E Balans VL '!I20/100/3.6*1000000</f>
        <v>10.044037063800278</v>
      </c>
      <c r="F10" s="34">
        <f>C32*'E Balans VL '!L20/100/3.6*1000000+C32*'E Balans VL '!N20/100/3.6*1000000</f>
        <v>113.45113040235128</v>
      </c>
      <c r="G10" s="35"/>
      <c r="H10" s="34"/>
      <c r="I10" s="34"/>
      <c r="J10" s="41">
        <f>C32*'E Balans VL '!D20/100/3.6*1000000+C32*'E Balans VL '!E20/100/3.6*1000000</f>
        <v>4.026203116004057E-3</v>
      </c>
      <c r="K10" s="34"/>
      <c r="L10" s="34"/>
      <c r="M10" s="34"/>
      <c r="N10" s="34">
        <f>C32*'E Balans VL '!Y20/100/3.6*1000000</f>
        <v>15.126041794019574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12.683</v>
      </c>
      <c r="C12" s="34"/>
      <c r="D12" s="38">
        <f>IF( ISERROR(IND_min_gas_kWh/1000),0,IND_min_gas_kWh/1000)*0.902</f>
        <v>0</v>
      </c>
      <c r="E12" s="34">
        <f>C34*'E Balans VL '!I22/100/3.6*1000000</f>
        <v>0.32153661933607264</v>
      </c>
      <c r="F12" s="34">
        <f>C34*'E Balans VL '!L22/100/3.6*1000000+C34*'E Balans VL '!N22/100/3.6*1000000</f>
        <v>3.5094303077414786</v>
      </c>
      <c r="G12" s="35"/>
      <c r="H12" s="34"/>
      <c r="I12" s="34"/>
      <c r="J12" s="41">
        <f>C34*'E Balans VL '!D22/100/3.6*1000000+C34*'E Balans VL '!E22/100/3.6*1000000</f>
        <v>8.3761080660617715E-2</v>
      </c>
      <c r="K12" s="34"/>
      <c r="L12" s="34"/>
      <c r="M12" s="34"/>
      <c r="N12" s="34">
        <f>C34*'E Balans VL '!Y22/100/3.6*1000000</f>
        <v>0</v>
      </c>
      <c r="O12" s="34"/>
      <c r="P12" s="34"/>
      <c r="R12" s="33"/>
    </row>
    <row r="13" spans="1:18">
      <c r="A13" s="6" t="s">
        <v>39</v>
      </c>
      <c r="B13" s="38">
        <f t="shared" si="0"/>
        <v>42.131</v>
      </c>
      <c r="C13" s="34"/>
      <c r="D13" s="38">
        <f>IF( ISERROR(IND_papier_gas_kWh/1000),0,IND_papier_gas_kWh/1000)*0.902</f>
        <v>97.48184599999999</v>
      </c>
      <c r="E13" s="34">
        <f>C35*'E Balans VL '!I23/100/3.6*1000000</f>
        <v>1.4350429460006373</v>
      </c>
      <c r="F13" s="34">
        <f>C35*'E Balans VL '!L23/100/3.6*1000000+C35*'E Balans VL '!N23/100/3.6*1000000</f>
        <v>6.9590524067143384</v>
      </c>
      <c r="G13" s="35"/>
      <c r="H13" s="34"/>
      <c r="I13" s="34"/>
      <c r="J13" s="41">
        <f>C35*'E Balans VL '!D23/100/3.6*1000000+C35*'E Balans VL '!E23/100/3.6*1000000</f>
        <v>0</v>
      </c>
      <c r="K13" s="34"/>
      <c r="L13" s="34"/>
      <c r="M13" s="34"/>
      <c r="N13" s="34">
        <f>C35*'E Balans VL '!Y23/100/3.6*1000000</f>
        <v>15.503078134167261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110.26900000000001</v>
      </c>
      <c r="C15" s="34"/>
      <c r="D15" s="38">
        <f>IF( ISERROR(IND_rest_gas_kWh/1000),0,IND_rest_gas_kWh/1000)*0.902</f>
        <v>411.09822600000001</v>
      </c>
      <c r="E15" s="34">
        <f>C37*'E Balans VL '!I15/100/3.6*1000000</f>
        <v>0.99084315489812336</v>
      </c>
      <c r="F15" s="34">
        <f>C37*'E Balans VL '!L15/100/3.6*1000000+C37*'E Balans VL '!N15/100/3.6*1000000</f>
        <v>21.714223355007796</v>
      </c>
      <c r="G15" s="35"/>
      <c r="H15" s="34"/>
      <c r="I15" s="34"/>
      <c r="J15" s="41">
        <f>C37*'E Balans VL '!D15/100/3.6*1000000+C37*'E Balans VL '!E15/100/3.6*1000000</f>
        <v>0.55451748358016173</v>
      </c>
      <c r="K15" s="34"/>
      <c r="L15" s="34"/>
      <c r="M15" s="34"/>
      <c r="N15" s="34">
        <f>C37*'E Balans VL '!Y15/100/3.6*1000000</f>
        <v>3.3849678005373387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3116.4519999999993</v>
      </c>
      <c r="C18" s="22">
        <f>C5+C16</f>
        <v>0</v>
      </c>
      <c r="D18" s="22">
        <f>MAX((D5+D16),0)</f>
        <v>2892.0537360000003</v>
      </c>
      <c r="E18" s="22">
        <f>MAX((E5+E16),0)</f>
        <v>24.270357210850655</v>
      </c>
      <c r="F18" s="22">
        <f>MAX((F5+F16),0)</f>
        <v>1616.3037939948917</v>
      </c>
      <c r="G18" s="22"/>
      <c r="H18" s="22"/>
      <c r="I18" s="22"/>
      <c r="J18" s="22">
        <f>MAX((J5+J16),0)</f>
        <v>2.4126587238723149</v>
      </c>
      <c r="K18" s="22"/>
      <c r="L18" s="22">
        <f>MAX((L5+L16),0)</f>
        <v>0</v>
      </c>
      <c r="M18" s="22"/>
      <c r="N18" s="22">
        <f>MAX((N5+N16),0)</f>
        <v>173.1867873151775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0.20341545212136611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633.93449259453553</v>
      </c>
      <c r="C22" s="24">
        <f ca="1">C18*C20</f>
        <v>0</v>
      </c>
      <c r="D22" s="24">
        <f>D18*D20</f>
        <v>584.19485467200013</v>
      </c>
      <c r="E22" s="24">
        <f>E18*E20</f>
        <v>5.5093710868630987</v>
      </c>
      <c r="F22" s="24">
        <f>F18*F20</f>
        <v>431.55311299663612</v>
      </c>
      <c r="G22" s="24"/>
      <c r="H22" s="24"/>
      <c r="I22" s="24"/>
      <c r="J22" s="24">
        <f>J18*J20</f>
        <v>0.85408118825079948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97.388000000000005</v>
      </c>
      <c r="C30" s="40">
        <f>IF(ISERROR(B30*3.6/1000000/'E Balans VL '!Z18*100),0,B30*3.6/1000000/'E Balans VL '!Z18*100)</f>
        <v>5.4189909720313663E-3</v>
      </c>
      <c r="D30" s="240" t="s">
        <v>707</v>
      </c>
    </row>
    <row r="31" spans="1:18">
      <c r="A31" s="6" t="s">
        <v>33</v>
      </c>
      <c r="B31" s="38">
        <f>IF( ISERROR(IND_ander_ele_kWh/1000),0,IND_ander_ele_kWh/1000)</f>
        <v>1832.479</v>
      </c>
      <c r="C31" s="40">
        <f>IF(ISERROR(B31*3.6/1000000/'E Balans VL '!Z19*100),0,B31*3.6/1000000/'E Balans VL '!Z19*100)</f>
        <v>8.5187136065424621E-2</v>
      </c>
      <c r="D31" s="240" t="s">
        <v>707</v>
      </c>
    </row>
    <row r="32" spans="1:18">
      <c r="A32" s="174" t="s">
        <v>41</v>
      </c>
      <c r="B32" s="38">
        <f>IF( ISERROR(IND_voed_ele_kWh/1000),0,IND_voed_ele_kWh/1000)</f>
        <v>1021.502</v>
      </c>
      <c r="C32" s="40">
        <f>IF(ISERROR(B32*3.6/1000000/'E Balans VL '!Z20*100),0,B32*3.6/1000000/'E Balans VL '!Z20*100)</f>
        <v>3.6108032689341596E-2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12.683</v>
      </c>
      <c r="C34" s="40">
        <f>IF(ISERROR(B34*3.6/1000000/'E Balans VL '!Z22*100),0,B34*3.6/1000000/'E Balans VL '!Z22*100)</f>
        <v>2.5489253514828329E-3</v>
      </c>
      <c r="D34" s="240" t="s">
        <v>707</v>
      </c>
    </row>
    <row r="35" spans="1:5">
      <c r="A35" s="174" t="s">
        <v>39</v>
      </c>
      <c r="B35" s="38">
        <f>IF( ISERROR(IND_papier_ele_kWh/1000),0,IND_papier_ele_kWh/1000)</f>
        <v>42.131</v>
      </c>
      <c r="C35" s="40">
        <f>IF(ISERROR(B35*3.6/1000000/'E Balans VL '!Z22*100),0,B35*3.6/1000000/'E Balans VL '!Z22*100)</f>
        <v>8.4671429459373393E-3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110.26900000000001</v>
      </c>
      <c r="C37" s="40">
        <f>IF(ISERROR(B37*3.6/1000000/'E Balans VL '!Z15*100),0,B37*3.6/1000000/'E Balans VL '!Z15*100)</f>
        <v>8.3269384194470028E-4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2557.895</v>
      </c>
      <c r="C5" s="18">
        <f>'Eigen informatie GS &amp; warmtenet'!B60</f>
        <v>0</v>
      </c>
      <c r="D5" s="31">
        <f>IF(ISERROR(SUM(LB_lb_gas_kWh,LB_rest_gas_kWh,onbekend_gas_kWh)/1000),0,SUM(LB_lb_gas_kWh,LB_rest_gas_kWh,onbekend_gas_kWh)/1000)*0.902</f>
        <v>1518.646888</v>
      </c>
      <c r="E5" s="18">
        <f>B17*'E Balans VL '!I25/3.6*1000000/100</f>
        <v>24.097084745869452</v>
      </c>
      <c r="F5" s="18">
        <f>B17*('E Balans VL '!L25/3.6*1000000+'E Balans VL '!N25/3.6*1000000)/100</f>
        <v>8347.2602757981404</v>
      </c>
      <c r="G5" s="19"/>
      <c r="H5" s="18"/>
      <c r="I5" s="18"/>
      <c r="J5" s="18">
        <f>('E Balans VL '!D25+'E Balans VL '!E25)/3.6*1000000*landbouw!B17/100</f>
        <v>316.42405309889011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2557.895</v>
      </c>
      <c r="C8" s="22">
        <f>C5+C6</f>
        <v>0</v>
      </c>
      <c r="D8" s="22">
        <f>MAX((D5+D6),0)</f>
        <v>1518.646888</v>
      </c>
      <c r="E8" s="22">
        <f>MAX((E5+E6),0)</f>
        <v>24.097084745869452</v>
      </c>
      <c r="F8" s="22">
        <f>MAX((F5+F6),0)</f>
        <v>8347.2602757981404</v>
      </c>
      <c r="G8" s="22"/>
      <c r="H8" s="22"/>
      <c r="I8" s="22"/>
      <c r="J8" s="22">
        <f>MAX((J5+J6),0)</f>
        <v>316.42405309889011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0.20341545212136611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520.31536790398172</v>
      </c>
      <c r="C12" s="24">
        <f ca="1">C8*C10</f>
        <v>0</v>
      </c>
      <c r="D12" s="24">
        <f>D8*D10</f>
        <v>306.76667137600003</v>
      </c>
      <c r="E12" s="24">
        <f>E8*E10</f>
        <v>5.4700382373123659</v>
      </c>
      <c r="F12" s="24">
        <f>F8*F10</f>
        <v>2228.7184936381036</v>
      </c>
      <c r="G12" s="24"/>
      <c r="H12" s="24"/>
      <c r="I12" s="24"/>
      <c r="J12" s="24">
        <f>J8*J10</f>
        <v>112.0141147970071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0.34629810914451331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704.98006358344628</v>
      </c>
      <c r="C26" s="250">
        <f>B26*'GWP N2O_CH4'!B5</f>
        <v>14804.581335252373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287.37168686881671</v>
      </c>
      <c r="C27" s="250">
        <f>B27*'GWP N2O_CH4'!B5</f>
        <v>6034.8054242451508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9.826237271239993</v>
      </c>
      <c r="C28" s="250">
        <f>B28*'GWP N2O_CH4'!B4</f>
        <v>3046.1335540843979</v>
      </c>
      <c r="D28" s="51"/>
    </row>
    <row r="29" spans="1:4">
      <c r="A29" s="42" t="s">
        <v>277</v>
      </c>
      <c r="B29" s="250">
        <f>B34*'ha_N2O bodem landbouw'!B4</f>
        <v>31.807109113828069</v>
      </c>
      <c r="C29" s="250">
        <f>B29*'GWP N2O_CH4'!B4</f>
        <v>9860.2038252867023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8.5869181644513196E-3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1.1267623638491538E-5</v>
      </c>
      <c r="C5" s="447" t="s">
        <v>211</v>
      </c>
      <c r="D5" s="432">
        <f>SUM(D6:D11)</f>
        <v>2.8783532711197764E-5</v>
      </c>
      <c r="E5" s="432">
        <f>SUM(E6:E11)</f>
        <v>1.8902196842091148E-3</v>
      </c>
      <c r="F5" s="445" t="s">
        <v>211</v>
      </c>
      <c r="G5" s="432">
        <f>SUM(G6:G11)</f>
        <v>0.49850337776503478</v>
      </c>
      <c r="H5" s="432">
        <f>SUM(H6:H11)</f>
        <v>6.6203820951063461E-2</v>
      </c>
      <c r="I5" s="447" t="s">
        <v>211</v>
      </c>
      <c r="J5" s="447" t="s">
        <v>211</v>
      </c>
      <c r="K5" s="447" t="s">
        <v>211</v>
      </c>
      <c r="L5" s="447" t="s">
        <v>211</v>
      </c>
      <c r="M5" s="432">
        <f>SUM(M6:M11)</f>
        <v>2.5227008242243013E-2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5.705442070845969E-6</v>
      </c>
      <c r="C6" s="433"/>
      <c r="D6" s="433">
        <f>vkm_2011_GW_PW*SUMIFS(TableVerdeelsleutelVkm[CNG],TableVerdeelsleutelVkm[Voertuigtype],"Lichte voertuigen")*SUMIFS(TableECFTransport[EnergieConsumptieFactor (PJ per km)],TableECFTransport[Index],CONCATENATE($A6,"_CNG_CNG"))</f>
        <v>1.3932785086651551E-5</v>
      </c>
      <c r="E6" s="435">
        <f>vkm_2011_GW_PW*SUMIFS(TableVerdeelsleutelVkm[LPG],TableVerdeelsleutelVkm[Voertuigtype],"Lichte voertuigen")*SUMIFS(TableECFTransport[EnergieConsumptieFactor (PJ per km)],TableECFTransport[Index],CONCATENATE($A6,"_LPG_LPG"))</f>
        <v>8.2586349723972501E-4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0.11938828355175135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3.1288239157064052E-2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6.747572174736767E-3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7.8599888712313021E-2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3.1711990743328904E-5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3.5016007234982562E-3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4.2788040835484088E-7</v>
      </c>
      <c r="C8" s="433"/>
      <c r="D8" s="435">
        <f>vkm_2011_NGW_PW*SUMIFS(TableVerdeelsleutelVkm[CNG],TableVerdeelsleutelVkm[Voertuigtype],"Lichte voertuigen")*SUMIFS(TableECFTransport[EnergieConsumptieFactor (PJ per km)],TableECFTransport[Index],CONCATENATE($A8,"_CNG_CNG"))</f>
        <v>1.8747122027381153E-6</v>
      </c>
      <c r="E8" s="435">
        <f>vkm_2011_NGW_PW*SUMIFS(TableVerdeelsleutelVkm[LPG],TableVerdeelsleutelVkm[Voertuigtype],"Lichte voertuigen")*SUMIFS(TableECFTransport[EnergieConsumptieFactor (PJ per km)],TableECFTransport[Index],CONCATENATE($A8,"_LPG_LPG"))</f>
        <v>1.0194443942711905E-4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1.3922075346612803E-2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4.0314440825862819E-3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8.0435777948517401E-4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2.0410495218522078E-3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7.1700381353989694E-7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9.0923254506339015E-5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5.1343011592907294E-6</v>
      </c>
      <c r="C10" s="433"/>
      <c r="D10" s="435">
        <f>vkm_2011_SW_PW*SUMIFS(TableVerdeelsleutelVkm[CNG],TableVerdeelsleutelVkm[Voertuigtype],"Lichte voertuigen")*SUMIFS(TableECFTransport[EnergieConsumptieFactor (PJ per km)],TableECFTransport[Index],CONCATENATE($A10,"_CNG_CNG"))</f>
        <v>1.2976035421808099E-5</v>
      </c>
      <c r="E10" s="435">
        <f>vkm_2011_SW_PW*SUMIFS(TableVerdeelsleutelVkm[LPG],TableVerdeelsleutelVkm[Voertuigtype],"Lichte voertuigen")*SUMIFS(TableECFTransport[EnergieConsumptieFactor (PJ per km)],TableECFTransport[Index],CONCATENATE($A10,"_LPG_LPG"))</f>
        <v>9.6241174754227075E-4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0.12679236493764864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3.0784179450533352E-2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7.0542303512887853E-3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0.15775971569485675</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6.7529266322898857E-5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7.0283239587276914E-3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3.1298954551365381</v>
      </c>
      <c r="C14" s="22"/>
      <c r="D14" s="22">
        <f t="shared" ref="D14:M14" si="0">((D5)*10^9/3600)+D12</f>
        <v>7.9954257531104904</v>
      </c>
      <c r="E14" s="22">
        <f t="shared" si="0"/>
        <v>525.0610233914208</v>
      </c>
      <c r="F14" s="22"/>
      <c r="G14" s="22">
        <f t="shared" si="0"/>
        <v>138473.16049028744</v>
      </c>
      <c r="H14" s="22">
        <f t="shared" si="0"/>
        <v>18389.950264184296</v>
      </c>
      <c r="I14" s="22"/>
      <c r="J14" s="22"/>
      <c r="K14" s="22"/>
      <c r="L14" s="22"/>
      <c r="M14" s="22">
        <f t="shared" si="0"/>
        <v>7007.5022895119482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0.20341545212136611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0.63666909909920788</v>
      </c>
      <c r="C18" s="24"/>
      <c r="D18" s="24">
        <f t="shared" ref="D18:M18" si="1">D14*D16</f>
        <v>1.6150760021283193</v>
      </c>
      <c r="E18" s="24">
        <f t="shared" si="1"/>
        <v>119.18885230985252</v>
      </c>
      <c r="F18" s="24"/>
      <c r="G18" s="24">
        <f t="shared" si="1"/>
        <v>36972.333850906747</v>
      </c>
      <c r="H18" s="24">
        <f t="shared" si="1"/>
        <v>4579.0976157818895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5.9436773687298085E-3</v>
      </c>
      <c r="C50" s="323">
        <f t="shared" ref="C50:P50" si="2">SUM(C51:C52)</f>
        <v>0</v>
      </c>
      <c r="D50" s="323">
        <f t="shared" si="2"/>
        <v>0</v>
      </c>
      <c r="E50" s="323">
        <f t="shared" si="2"/>
        <v>0</v>
      </c>
      <c r="F50" s="323">
        <f t="shared" si="2"/>
        <v>0</v>
      </c>
      <c r="G50" s="323">
        <f t="shared" si="2"/>
        <v>5.9210066450737803E-3</v>
      </c>
      <c r="H50" s="323">
        <f t="shared" si="2"/>
        <v>0</v>
      </c>
      <c r="I50" s="323">
        <f t="shared" si="2"/>
        <v>0</v>
      </c>
      <c r="J50" s="323">
        <f t="shared" si="2"/>
        <v>0</v>
      </c>
      <c r="K50" s="323">
        <f t="shared" si="2"/>
        <v>0</v>
      </c>
      <c r="L50" s="323">
        <f t="shared" si="2"/>
        <v>0</v>
      </c>
      <c r="M50" s="323">
        <f t="shared" si="2"/>
        <v>2.6000116909660672E-4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5.9210066450737803E-3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2.6000116909660672E-4</v>
      </c>
      <c r="N51" s="325"/>
      <c r="O51" s="325"/>
      <c r="P51" s="328"/>
    </row>
    <row r="52" spans="1:18">
      <c r="A52" s="4" t="s">
        <v>330</v>
      </c>
      <c r="B52" s="329">
        <f>vkm_2011_tram*SUMIFS(TableECFTransport[EnergieConsumptieFactor (PJ per km)],TableECFTransport[Index],"Tram_gemiddeld_Electric_Electric")</f>
        <v>5.9436773687298085E-3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1651.0214913138357</v>
      </c>
      <c r="C54" s="22">
        <f t="shared" ref="C54:P54" si="3">(C50)*10^9/3600</f>
        <v>0</v>
      </c>
      <c r="D54" s="22">
        <f t="shared" si="3"/>
        <v>0</v>
      </c>
      <c r="E54" s="22">
        <f t="shared" si="3"/>
        <v>0</v>
      </c>
      <c r="F54" s="22">
        <f t="shared" si="3"/>
        <v>0</v>
      </c>
      <c r="G54" s="22">
        <f t="shared" si="3"/>
        <v>1644.7240680760501</v>
      </c>
      <c r="H54" s="22">
        <f t="shared" si="3"/>
        <v>0</v>
      </c>
      <c r="I54" s="22">
        <f t="shared" si="3"/>
        <v>0</v>
      </c>
      <c r="J54" s="22">
        <f t="shared" si="3"/>
        <v>0</v>
      </c>
      <c r="K54" s="22">
        <f t="shared" si="3"/>
        <v>0</v>
      </c>
      <c r="L54" s="22">
        <f t="shared" si="3"/>
        <v>0</v>
      </c>
      <c r="M54" s="22">
        <f t="shared" si="3"/>
        <v>72.222546971279641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0.20341545212136611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335.84328311769599</v>
      </c>
      <c r="C58" s="24">
        <f t="shared" ref="C58:P58" ca="1" si="4">C54*C56</f>
        <v>0</v>
      </c>
      <c r="D58" s="24">
        <f t="shared" si="4"/>
        <v>0</v>
      </c>
      <c r="E58" s="24">
        <f t="shared" si="4"/>
        <v>0</v>
      </c>
      <c r="F58" s="24">
        <f t="shared" si="4"/>
        <v>0</v>
      </c>
      <c r="G58" s="24">
        <f t="shared" si="4"/>
        <v>439.14132617630543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3906.903548981617</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4315.8222603663662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8222.7258093479832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37856.689999999995</v>
      </c>
      <c r="D10" s="703">
        <f ca="1">tertiair!C16</f>
        <v>0</v>
      </c>
      <c r="E10" s="703">
        <f ca="1">tertiair!D16</f>
        <v>30902.214222000006</v>
      </c>
      <c r="F10" s="703">
        <f>tertiair!E16</f>
        <v>722.97873804236031</v>
      </c>
      <c r="G10" s="703">
        <f ca="1">tertiair!F16</f>
        <v>7240.4620275073821</v>
      </c>
      <c r="H10" s="703">
        <f>tertiair!G16</f>
        <v>0</v>
      </c>
      <c r="I10" s="703">
        <f>tertiair!H16</f>
        <v>0</v>
      </c>
      <c r="J10" s="703">
        <f>tertiair!I16</f>
        <v>0</v>
      </c>
      <c r="K10" s="703">
        <f>tertiair!J16</f>
        <v>0</v>
      </c>
      <c r="L10" s="703">
        <f>tertiair!K16</f>
        <v>0</v>
      </c>
      <c r="M10" s="703">
        <f ca="1">tertiair!L16</f>
        <v>0</v>
      </c>
      <c r="N10" s="703">
        <f>tertiair!M16</f>
        <v>0</v>
      </c>
      <c r="O10" s="703">
        <f ca="1">tertiair!N16</f>
        <v>2368.9632607474491</v>
      </c>
      <c r="P10" s="703">
        <f>tertiair!O16</f>
        <v>6.2533333333333339</v>
      </c>
      <c r="Q10" s="704">
        <f>tertiair!P16</f>
        <v>0</v>
      </c>
      <c r="R10" s="706">
        <f ca="1">SUM(C10:Q10)</f>
        <v>79097.561581630522</v>
      </c>
      <c r="S10" s="68"/>
    </row>
    <row r="11" spans="1:19" s="458" customFormat="1">
      <c r="A11" s="859" t="s">
        <v>225</v>
      </c>
      <c r="B11" s="864"/>
      <c r="C11" s="703">
        <f>huishoudens!B8</f>
        <v>58156.81485426514</v>
      </c>
      <c r="D11" s="703">
        <f>huishoudens!C8</f>
        <v>0</v>
      </c>
      <c r="E11" s="703">
        <f>huishoudens!D8</f>
        <v>88511.976454000003</v>
      </c>
      <c r="F11" s="703">
        <f>huishoudens!E8</f>
        <v>1421.6300178526708</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3303.7678630139526</v>
      </c>
      <c r="P11" s="703">
        <f>huishoudens!O8</f>
        <v>43.773333333333341</v>
      </c>
      <c r="Q11" s="704">
        <f>huishoudens!P8</f>
        <v>247.86666666666667</v>
      </c>
      <c r="R11" s="706">
        <f>SUM(C11:Q11)</f>
        <v>151685.82918913179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3116.4519999999993</v>
      </c>
      <c r="D13" s="703">
        <f>industrie!C18</f>
        <v>0</v>
      </c>
      <c r="E13" s="703">
        <f>industrie!D18</f>
        <v>2892.0537360000003</v>
      </c>
      <c r="F13" s="703">
        <f>industrie!E18</f>
        <v>24.270357210850655</v>
      </c>
      <c r="G13" s="703">
        <f>industrie!F18</f>
        <v>1616.3037939948917</v>
      </c>
      <c r="H13" s="703">
        <f>industrie!G18</f>
        <v>0</v>
      </c>
      <c r="I13" s="703">
        <f>industrie!H18</f>
        <v>0</v>
      </c>
      <c r="J13" s="703">
        <f>industrie!I18</f>
        <v>0</v>
      </c>
      <c r="K13" s="703">
        <f>industrie!J18</f>
        <v>2.4126587238723149</v>
      </c>
      <c r="L13" s="703">
        <f>industrie!K18</f>
        <v>0</v>
      </c>
      <c r="M13" s="703">
        <f>industrie!L18</f>
        <v>0</v>
      </c>
      <c r="N13" s="703">
        <f>industrie!M18</f>
        <v>0</v>
      </c>
      <c r="O13" s="703">
        <f>industrie!N18</f>
        <v>173.1867873151775</v>
      </c>
      <c r="P13" s="703">
        <f>industrie!O18</f>
        <v>0</v>
      </c>
      <c r="Q13" s="704">
        <f>industrie!P18</f>
        <v>0</v>
      </c>
      <c r="R13" s="706">
        <f>SUM(C13:Q13)</f>
        <v>7824.6793332447915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99129.95685426514</v>
      </c>
      <c r="D15" s="708">
        <f t="shared" ref="D15:Q15" ca="1" si="0">SUM(D9:D14)</f>
        <v>0</v>
      </c>
      <c r="E15" s="708">
        <f t="shared" ca="1" si="0"/>
        <v>122306.24441200001</v>
      </c>
      <c r="F15" s="708">
        <f t="shared" si="0"/>
        <v>2168.879113105882</v>
      </c>
      <c r="G15" s="708">
        <f t="shared" ca="1" si="0"/>
        <v>8856.7658215022748</v>
      </c>
      <c r="H15" s="708">
        <f t="shared" si="0"/>
        <v>0</v>
      </c>
      <c r="I15" s="708">
        <f t="shared" si="0"/>
        <v>0</v>
      </c>
      <c r="J15" s="708">
        <f t="shared" si="0"/>
        <v>0</v>
      </c>
      <c r="K15" s="708">
        <f t="shared" si="0"/>
        <v>2.4126587238723149</v>
      </c>
      <c r="L15" s="708">
        <f t="shared" si="0"/>
        <v>0</v>
      </c>
      <c r="M15" s="708">
        <f t="shared" ca="1" si="0"/>
        <v>0</v>
      </c>
      <c r="N15" s="708">
        <f t="shared" si="0"/>
        <v>0</v>
      </c>
      <c r="O15" s="708">
        <f t="shared" ca="1" si="0"/>
        <v>5845.917911076579</v>
      </c>
      <c r="P15" s="708">
        <f t="shared" si="0"/>
        <v>50.026666666666671</v>
      </c>
      <c r="Q15" s="709">
        <f t="shared" si="0"/>
        <v>247.86666666666667</v>
      </c>
      <c r="R15" s="710">
        <f ca="1">SUM(R9:R14)</f>
        <v>238608.07010400711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1651.0214913138357</v>
      </c>
      <c r="D18" s="703">
        <f>transport!C54</f>
        <v>0</v>
      </c>
      <c r="E18" s="703">
        <f>transport!D54</f>
        <v>0</v>
      </c>
      <c r="F18" s="703">
        <f>transport!E54</f>
        <v>0</v>
      </c>
      <c r="G18" s="703">
        <f>transport!F54</f>
        <v>0</v>
      </c>
      <c r="H18" s="703">
        <f>transport!G54</f>
        <v>1644.7240680760501</v>
      </c>
      <c r="I18" s="703">
        <f>transport!H54</f>
        <v>0</v>
      </c>
      <c r="J18" s="703">
        <f>transport!I54</f>
        <v>0</v>
      </c>
      <c r="K18" s="703">
        <f>transport!J54</f>
        <v>0</v>
      </c>
      <c r="L18" s="703">
        <f>transport!K54</f>
        <v>0</v>
      </c>
      <c r="M18" s="703">
        <f>transport!L54</f>
        <v>0</v>
      </c>
      <c r="N18" s="703">
        <f>transport!M54</f>
        <v>72.222546971279641</v>
      </c>
      <c r="O18" s="703">
        <f>transport!N54</f>
        <v>0</v>
      </c>
      <c r="P18" s="703">
        <f>transport!O54</f>
        <v>0</v>
      </c>
      <c r="Q18" s="704">
        <f>transport!P54</f>
        <v>0</v>
      </c>
      <c r="R18" s="706">
        <f>SUM(C18:Q18)</f>
        <v>3367.9681063611656</v>
      </c>
      <c r="S18" s="68"/>
    </row>
    <row r="19" spans="1:19" s="458" customFormat="1" ht="15" thickBot="1">
      <c r="A19" s="859" t="s">
        <v>307</v>
      </c>
      <c r="B19" s="864"/>
      <c r="C19" s="712">
        <f>transport!B14</f>
        <v>3.1298954551365381</v>
      </c>
      <c r="D19" s="712">
        <f>transport!C14</f>
        <v>0</v>
      </c>
      <c r="E19" s="712">
        <f>transport!D14</f>
        <v>7.9954257531104904</v>
      </c>
      <c r="F19" s="712">
        <f>transport!E14</f>
        <v>525.0610233914208</v>
      </c>
      <c r="G19" s="712">
        <f>transport!F14</f>
        <v>0</v>
      </c>
      <c r="H19" s="712">
        <f>transport!G14</f>
        <v>138473.16049028744</v>
      </c>
      <c r="I19" s="712">
        <f>transport!H14</f>
        <v>18389.950264184296</v>
      </c>
      <c r="J19" s="712">
        <f>transport!I14</f>
        <v>0</v>
      </c>
      <c r="K19" s="712">
        <f>transport!J14</f>
        <v>0</v>
      </c>
      <c r="L19" s="712">
        <f>transport!K14</f>
        <v>0</v>
      </c>
      <c r="M19" s="712">
        <f>transport!L14</f>
        <v>0</v>
      </c>
      <c r="N19" s="712">
        <f>transport!M14</f>
        <v>7007.5022895119482</v>
      </c>
      <c r="O19" s="712">
        <f>transport!N14</f>
        <v>0</v>
      </c>
      <c r="P19" s="712">
        <f>transport!O14</f>
        <v>0</v>
      </c>
      <c r="Q19" s="713">
        <f>transport!P14</f>
        <v>0</v>
      </c>
      <c r="R19" s="714">
        <f>SUM(C19:Q19)</f>
        <v>164406.79938858337</v>
      </c>
      <c r="S19" s="68"/>
    </row>
    <row r="20" spans="1:19" s="458" customFormat="1" ht="15.75" thickBot="1">
      <c r="A20" s="715" t="s">
        <v>230</v>
      </c>
      <c r="B20" s="867"/>
      <c r="C20" s="862">
        <f>SUM(C17:C19)</f>
        <v>1654.1513867689723</v>
      </c>
      <c r="D20" s="716">
        <f t="shared" ref="D20:R20" si="1">SUM(D17:D19)</f>
        <v>0</v>
      </c>
      <c r="E20" s="716">
        <f t="shared" si="1"/>
        <v>7.9954257531104904</v>
      </c>
      <c r="F20" s="716">
        <f t="shared" si="1"/>
        <v>525.0610233914208</v>
      </c>
      <c r="G20" s="716">
        <f t="shared" si="1"/>
        <v>0</v>
      </c>
      <c r="H20" s="716">
        <f t="shared" si="1"/>
        <v>140117.8845583635</v>
      </c>
      <c r="I20" s="716">
        <f t="shared" si="1"/>
        <v>18389.950264184296</v>
      </c>
      <c r="J20" s="716">
        <f t="shared" si="1"/>
        <v>0</v>
      </c>
      <c r="K20" s="716">
        <f t="shared" si="1"/>
        <v>0</v>
      </c>
      <c r="L20" s="716">
        <f t="shared" si="1"/>
        <v>0</v>
      </c>
      <c r="M20" s="716">
        <f t="shared" si="1"/>
        <v>0</v>
      </c>
      <c r="N20" s="716">
        <f t="shared" si="1"/>
        <v>7079.7248364832276</v>
      </c>
      <c r="O20" s="716">
        <f t="shared" si="1"/>
        <v>0</v>
      </c>
      <c r="P20" s="716">
        <f t="shared" si="1"/>
        <v>0</v>
      </c>
      <c r="Q20" s="717">
        <f t="shared" si="1"/>
        <v>0</v>
      </c>
      <c r="R20" s="718">
        <f t="shared" si="1"/>
        <v>167774.76749494454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2557.895</v>
      </c>
      <c r="D22" s="712">
        <f>+landbouw!C8</f>
        <v>0</v>
      </c>
      <c r="E22" s="712">
        <f>+landbouw!D8</f>
        <v>1518.646888</v>
      </c>
      <c r="F22" s="712">
        <f>+landbouw!E8</f>
        <v>24.097084745869452</v>
      </c>
      <c r="G22" s="712">
        <f>+landbouw!F8</f>
        <v>8347.2602757981404</v>
      </c>
      <c r="H22" s="712">
        <f>+landbouw!G8</f>
        <v>0</v>
      </c>
      <c r="I22" s="712">
        <f>+landbouw!H8</f>
        <v>0</v>
      </c>
      <c r="J22" s="712">
        <f>+landbouw!I8</f>
        <v>0</v>
      </c>
      <c r="K22" s="712">
        <f>+landbouw!J8</f>
        <v>316.42405309889011</v>
      </c>
      <c r="L22" s="712">
        <f>+landbouw!K8</f>
        <v>0</v>
      </c>
      <c r="M22" s="712">
        <f>+landbouw!L8</f>
        <v>0</v>
      </c>
      <c r="N22" s="712">
        <f>+landbouw!M8</f>
        <v>0</v>
      </c>
      <c r="O22" s="712">
        <f>+landbouw!N8</f>
        <v>0</v>
      </c>
      <c r="P22" s="712">
        <f>+landbouw!O8</f>
        <v>0</v>
      </c>
      <c r="Q22" s="713">
        <f>+landbouw!P8</f>
        <v>0</v>
      </c>
      <c r="R22" s="714">
        <f>SUM(C22:Q22)</f>
        <v>12764.3233016429</v>
      </c>
      <c r="S22" s="68"/>
    </row>
    <row r="23" spans="1:19" s="458" customFormat="1" ht="17.25" thickTop="1" thickBot="1">
      <c r="A23" s="719" t="s">
        <v>116</v>
      </c>
      <c r="B23" s="853"/>
      <c r="C23" s="720">
        <f ca="1">C20+C15+C22</f>
        <v>103342.00324103412</v>
      </c>
      <c r="D23" s="720">
        <f t="shared" ref="D23:Q23" ca="1" si="2">D20+D15+D22</f>
        <v>0</v>
      </c>
      <c r="E23" s="720">
        <f t="shared" ca="1" si="2"/>
        <v>123832.88672575312</v>
      </c>
      <c r="F23" s="720">
        <f t="shared" si="2"/>
        <v>2718.0372212431721</v>
      </c>
      <c r="G23" s="720">
        <f t="shared" ca="1" si="2"/>
        <v>17204.026097300415</v>
      </c>
      <c r="H23" s="720">
        <f t="shared" si="2"/>
        <v>140117.8845583635</v>
      </c>
      <c r="I23" s="720">
        <f t="shared" si="2"/>
        <v>18389.950264184296</v>
      </c>
      <c r="J23" s="720">
        <f t="shared" si="2"/>
        <v>0</v>
      </c>
      <c r="K23" s="720">
        <f t="shared" si="2"/>
        <v>318.83671182276242</v>
      </c>
      <c r="L23" s="720">
        <f t="shared" si="2"/>
        <v>0</v>
      </c>
      <c r="M23" s="720">
        <f t="shared" ca="1" si="2"/>
        <v>0</v>
      </c>
      <c r="N23" s="720">
        <f t="shared" si="2"/>
        <v>7079.7248364832276</v>
      </c>
      <c r="O23" s="720">
        <f t="shared" ca="1" si="2"/>
        <v>5845.917911076579</v>
      </c>
      <c r="P23" s="720">
        <f t="shared" si="2"/>
        <v>50.026666666666671</v>
      </c>
      <c r="Q23" s="721">
        <f t="shared" si="2"/>
        <v>247.86666666666667</v>
      </c>
      <c r="R23" s="722">
        <f ca="1">R20+R15+R22</f>
        <v>419147.16090059455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7700.6357121683986</v>
      </c>
      <c r="D36" s="703">
        <f ca="1">tertiair!C20</f>
        <v>0</v>
      </c>
      <c r="E36" s="703">
        <f ca="1">tertiair!D20</f>
        <v>6242.2472728440016</v>
      </c>
      <c r="F36" s="703">
        <f>tertiair!E20</f>
        <v>164.11617353561579</v>
      </c>
      <c r="G36" s="703">
        <f ca="1">tertiair!F20</f>
        <v>1933.2033613444712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16040.202519892488</v>
      </c>
    </row>
    <row r="37" spans="1:18">
      <c r="A37" s="874" t="s">
        <v>225</v>
      </c>
      <c r="B37" s="881"/>
      <c r="C37" s="703">
        <f ca="1">huishoudens!B12</f>
        <v>11829.994787518925</v>
      </c>
      <c r="D37" s="703">
        <f ca="1">huishoudens!C12</f>
        <v>0</v>
      </c>
      <c r="E37" s="703">
        <f>huishoudens!D12</f>
        <v>17879.419243708002</v>
      </c>
      <c r="F37" s="703">
        <f>huishoudens!E12</f>
        <v>322.71001405255629</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30032.124045279481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633.93449259453553</v>
      </c>
      <c r="D39" s="703">
        <f ca="1">industrie!C22</f>
        <v>0</v>
      </c>
      <c r="E39" s="703">
        <f>industrie!D22</f>
        <v>584.19485467200013</v>
      </c>
      <c r="F39" s="703">
        <f>industrie!E22</f>
        <v>5.5093710868630987</v>
      </c>
      <c r="G39" s="703">
        <f>industrie!F22</f>
        <v>431.55311299663612</v>
      </c>
      <c r="H39" s="703">
        <f>industrie!G22</f>
        <v>0</v>
      </c>
      <c r="I39" s="703">
        <f>industrie!H22</f>
        <v>0</v>
      </c>
      <c r="J39" s="703">
        <f>industrie!I22</f>
        <v>0</v>
      </c>
      <c r="K39" s="703">
        <f>industrie!J22</f>
        <v>0.85408118825079948</v>
      </c>
      <c r="L39" s="703">
        <f>industrie!K22</f>
        <v>0</v>
      </c>
      <c r="M39" s="703">
        <f>industrie!L22</f>
        <v>0</v>
      </c>
      <c r="N39" s="703">
        <f>industrie!M22</f>
        <v>0</v>
      </c>
      <c r="O39" s="703">
        <f>industrie!N22</f>
        <v>0</v>
      </c>
      <c r="P39" s="703">
        <f>industrie!O22</f>
        <v>0</v>
      </c>
      <c r="Q39" s="813">
        <f>industrie!P22</f>
        <v>0</v>
      </c>
      <c r="R39" s="907">
        <f ca="1">SUM(C39:Q39)</f>
        <v>1656.0459125382858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20164.564992281859</v>
      </c>
      <c r="D41" s="748">
        <f t="shared" ref="D41:R41" ca="1" si="4">SUM(D35:D40)</f>
        <v>0</v>
      </c>
      <c r="E41" s="748">
        <f t="shared" ca="1" si="4"/>
        <v>24705.861371224004</v>
      </c>
      <c r="F41" s="748">
        <f t="shared" si="4"/>
        <v>492.33555867503514</v>
      </c>
      <c r="G41" s="748">
        <f t="shared" ca="1" si="4"/>
        <v>2364.7564743411072</v>
      </c>
      <c r="H41" s="748">
        <f t="shared" si="4"/>
        <v>0</v>
      </c>
      <c r="I41" s="748">
        <f t="shared" si="4"/>
        <v>0</v>
      </c>
      <c r="J41" s="748">
        <f t="shared" si="4"/>
        <v>0</v>
      </c>
      <c r="K41" s="748">
        <f t="shared" si="4"/>
        <v>0.85408118825079948</v>
      </c>
      <c r="L41" s="748">
        <f t="shared" si="4"/>
        <v>0</v>
      </c>
      <c r="M41" s="748">
        <f t="shared" ca="1" si="4"/>
        <v>0</v>
      </c>
      <c r="N41" s="748">
        <f t="shared" si="4"/>
        <v>0</v>
      </c>
      <c r="O41" s="748">
        <f t="shared" ca="1" si="4"/>
        <v>0</v>
      </c>
      <c r="P41" s="748">
        <f t="shared" si="4"/>
        <v>0</v>
      </c>
      <c r="Q41" s="749">
        <f t="shared" si="4"/>
        <v>0</v>
      </c>
      <c r="R41" s="750">
        <f t="shared" ca="1" si="4"/>
        <v>47728.372477710254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335.84328311769599</v>
      </c>
      <c r="D44" s="703">
        <f ca="1">transport!C58</f>
        <v>0</v>
      </c>
      <c r="E44" s="703">
        <f>transport!D58</f>
        <v>0</v>
      </c>
      <c r="F44" s="703">
        <f>transport!E58</f>
        <v>0</v>
      </c>
      <c r="G44" s="703">
        <f>transport!F58</f>
        <v>0</v>
      </c>
      <c r="H44" s="703">
        <f>transport!G58</f>
        <v>439.14132617630543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774.98460929400142</v>
      </c>
    </row>
    <row r="45" spans="1:18" ht="15" thickBot="1">
      <c r="A45" s="877" t="s">
        <v>307</v>
      </c>
      <c r="B45" s="887"/>
      <c r="C45" s="712">
        <f ca="1">transport!B18</f>
        <v>0.63666909909920788</v>
      </c>
      <c r="D45" s="712">
        <f>transport!C18</f>
        <v>0</v>
      </c>
      <c r="E45" s="712">
        <f>transport!D18</f>
        <v>1.6150760021283193</v>
      </c>
      <c r="F45" s="712">
        <f>transport!E18</f>
        <v>119.18885230985252</v>
      </c>
      <c r="G45" s="712">
        <f>transport!F18</f>
        <v>0</v>
      </c>
      <c r="H45" s="712">
        <f>transport!G18</f>
        <v>36972.333850906747</v>
      </c>
      <c r="I45" s="712">
        <f>transport!H18</f>
        <v>4579.0976157818895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41672.872064099713</v>
      </c>
    </row>
    <row r="46" spans="1:18" ht="15.75" thickBot="1">
      <c r="A46" s="875" t="s">
        <v>230</v>
      </c>
      <c r="B46" s="888"/>
      <c r="C46" s="748">
        <f t="shared" ref="C46:R46" ca="1" si="5">SUM(C43:C45)</f>
        <v>336.4799522167952</v>
      </c>
      <c r="D46" s="748">
        <f t="shared" ca="1" si="5"/>
        <v>0</v>
      </c>
      <c r="E46" s="748">
        <f t="shared" si="5"/>
        <v>1.6150760021283193</v>
      </c>
      <c r="F46" s="748">
        <f t="shared" si="5"/>
        <v>119.18885230985252</v>
      </c>
      <c r="G46" s="748">
        <f t="shared" si="5"/>
        <v>0</v>
      </c>
      <c r="H46" s="748">
        <f t="shared" si="5"/>
        <v>37411.475177083055</v>
      </c>
      <c r="I46" s="748">
        <f t="shared" si="5"/>
        <v>4579.0976157818895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42447.856673393711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520.31536790398172</v>
      </c>
      <c r="D48" s="703">
        <f ca="1">+landbouw!C12</f>
        <v>0</v>
      </c>
      <c r="E48" s="703">
        <f>+landbouw!D12</f>
        <v>306.76667137600003</v>
      </c>
      <c r="F48" s="703">
        <f>+landbouw!E12</f>
        <v>5.4700382373123659</v>
      </c>
      <c r="G48" s="703">
        <f>+landbouw!F12</f>
        <v>2228.7184936381036</v>
      </c>
      <c r="H48" s="703">
        <f>+landbouw!G12</f>
        <v>0</v>
      </c>
      <c r="I48" s="703">
        <f>+landbouw!H12</f>
        <v>0</v>
      </c>
      <c r="J48" s="703">
        <f>+landbouw!I12</f>
        <v>0</v>
      </c>
      <c r="K48" s="703">
        <f>+landbouw!J12</f>
        <v>112.0141147970071</v>
      </c>
      <c r="L48" s="703">
        <f>+landbouw!K12</f>
        <v>0</v>
      </c>
      <c r="M48" s="703">
        <f>+landbouw!L12</f>
        <v>0</v>
      </c>
      <c r="N48" s="703">
        <f>+landbouw!M12</f>
        <v>0</v>
      </c>
      <c r="O48" s="703">
        <f>+landbouw!N12</f>
        <v>0</v>
      </c>
      <c r="P48" s="703">
        <f>+landbouw!O12</f>
        <v>0</v>
      </c>
      <c r="Q48" s="704">
        <f>+landbouw!P12</f>
        <v>0</v>
      </c>
      <c r="R48" s="746">
        <f ca="1">SUM(C48:Q48)</f>
        <v>3173.2846859524047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21021.360312402638</v>
      </c>
      <c r="D53" s="758">
        <f t="shared" ref="D53:Q53" ca="1" si="6">D41+D46+D48</f>
        <v>0</v>
      </c>
      <c r="E53" s="758">
        <f t="shared" ca="1" si="6"/>
        <v>25014.243118602135</v>
      </c>
      <c r="F53" s="758">
        <f t="shared" si="6"/>
        <v>616.99444922220005</v>
      </c>
      <c r="G53" s="758">
        <f t="shared" ca="1" si="6"/>
        <v>4593.4749679792112</v>
      </c>
      <c r="H53" s="758">
        <f t="shared" si="6"/>
        <v>37411.475177083055</v>
      </c>
      <c r="I53" s="758">
        <f t="shared" si="6"/>
        <v>4579.0976157818895</v>
      </c>
      <c r="J53" s="758">
        <f t="shared" si="6"/>
        <v>0</v>
      </c>
      <c r="K53" s="758">
        <f t="shared" si="6"/>
        <v>112.8681959852579</v>
      </c>
      <c r="L53" s="758">
        <f t="shared" si="6"/>
        <v>0</v>
      </c>
      <c r="M53" s="758">
        <f t="shared" ca="1" si="6"/>
        <v>0</v>
      </c>
      <c r="N53" s="758">
        <f t="shared" si="6"/>
        <v>0</v>
      </c>
      <c r="O53" s="758">
        <f t="shared" ca="1" si="6"/>
        <v>0</v>
      </c>
      <c r="P53" s="758">
        <f>P41+P46+P48</f>
        <v>0</v>
      </c>
      <c r="Q53" s="759">
        <f t="shared" si="6"/>
        <v>0</v>
      </c>
      <c r="R53" s="760">
        <f ca="1">R41+R46+R48</f>
        <v>93349.513837056365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0.20341545212136611</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3906.903548981617</v>
      </c>
      <c r="C64" s="780">
        <f>'lokale energieproductie'!B4</f>
        <v>3906.903548981617</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4315.8222603663662</v>
      </c>
      <c r="C66" s="780">
        <f>'lokale energieproductie'!B6</f>
        <v>4315.8222603663662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8222.7258093479832</v>
      </c>
      <c r="C69" s="788">
        <f>SUM(C64:C68)</f>
        <v>8222.7258093479832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58156.81485426514</v>
      </c>
      <c r="C4" s="462">
        <f>huishoudens!C8</f>
        <v>0</v>
      </c>
      <c r="D4" s="462">
        <f>huishoudens!D8</f>
        <v>88511.976454000003</v>
      </c>
      <c r="E4" s="462">
        <f>huishoudens!E8</f>
        <v>1421.6300178526708</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3303.7678630139526</v>
      </c>
      <c r="O4" s="462">
        <f>huishoudens!O8</f>
        <v>43.773333333333341</v>
      </c>
      <c r="P4" s="463">
        <f>huishoudens!P8</f>
        <v>247.86666666666667</v>
      </c>
      <c r="Q4" s="464">
        <f>SUM(B4:P4)</f>
        <v>151685.82918913179</v>
      </c>
    </row>
    <row r="5" spans="1:17">
      <c r="A5" s="461" t="s">
        <v>156</v>
      </c>
      <c r="B5" s="462">
        <f ca="1">tertiair!B16</f>
        <v>35434.616999999998</v>
      </c>
      <c r="C5" s="462">
        <f ca="1">tertiair!C16</f>
        <v>0</v>
      </c>
      <c r="D5" s="462">
        <f ca="1">tertiair!D16</f>
        <v>30902.214222000006</v>
      </c>
      <c r="E5" s="462">
        <f>tertiair!E16</f>
        <v>722.97873804236031</v>
      </c>
      <c r="F5" s="462">
        <f ca="1">tertiair!F16</f>
        <v>7240.4620275073821</v>
      </c>
      <c r="G5" s="462">
        <f>tertiair!G16</f>
        <v>0</v>
      </c>
      <c r="H5" s="462">
        <f>tertiair!H16</f>
        <v>0</v>
      </c>
      <c r="I5" s="462">
        <f>tertiair!I16</f>
        <v>0</v>
      </c>
      <c r="J5" s="462">
        <f>tertiair!J16</f>
        <v>0</v>
      </c>
      <c r="K5" s="462">
        <f>tertiair!K16</f>
        <v>0</v>
      </c>
      <c r="L5" s="462">
        <f ca="1">tertiair!L16</f>
        <v>0</v>
      </c>
      <c r="M5" s="462">
        <f>tertiair!M16</f>
        <v>0</v>
      </c>
      <c r="N5" s="462">
        <f ca="1">tertiair!N16</f>
        <v>2368.9632607474491</v>
      </c>
      <c r="O5" s="462">
        <f>tertiair!O16</f>
        <v>6.2533333333333339</v>
      </c>
      <c r="P5" s="463">
        <f>tertiair!P16</f>
        <v>0</v>
      </c>
      <c r="Q5" s="461">
        <f t="shared" ref="Q5:Q13" ca="1" si="0">SUM(B5:P5)</f>
        <v>76675.488581630532</v>
      </c>
    </row>
    <row r="6" spans="1:17">
      <c r="A6" s="461" t="s">
        <v>194</v>
      </c>
      <c r="B6" s="462">
        <f>'openbare verlichting'!B8</f>
        <v>2422.0729999999999</v>
      </c>
      <c r="C6" s="462"/>
      <c r="D6" s="462"/>
      <c r="E6" s="462"/>
      <c r="F6" s="462"/>
      <c r="G6" s="462"/>
      <c r="H6" s="462"/>
      <c r="I6" s="462"/>
      <c r="J6" s="462"/>
      <c r="K6" s="462"/>
      <c r="L6" s="462"/>
      <c r="M6" s="462"/>
      <c r="N6" s="462"/>
      <c r="O6" s="462"/>
      <c r="P6" s="463"/>
      <c r="Q6" s="461">
        <f t="shared" si="0"/>
        <v>2422.0729999999999</v>
      </c>
    </row>
    <row r="7" spans="1:17">
      <c r="A7" s="461" t="s">
        <v>112</v>
      </c>
      <c r="B7" s="462">
        <f>landbouw!B8</f>
        <v>2557.895</v>
      </c>
      <c r="C7" s="462">
        <f>landbouw!C8</f>
        <v>0</v>
      </c>
      <c r="D7" s="462">
        <f>landbouw!D8</f>
        <v>1518.646888</v>
      </c>
      <c r="E7" s="462">
        <f>landbouw!E8</f>
        <v>24.097084745869452</v>
      </c>
      <c r="F7" s="462">
        <f>landbouw!F8</f>
        <v>8347.2602757981404</v>
      </c>
      <c r="G7" s="462">
        <f>landbouw!G8</f>
        <v>0</v>
      </c>
      <c r="H7" s="462">
        <f>landbouw!H8</f>
        <v>0</v>
      </c>
      <c r="I7" s="462">
        <f>landbouw!I8</f>
        <v>0</v>
      </c>
      <c r="J7" s="462">
        <f>landbouw!J8</f>
        <v>316.42405309889011</v>
      </c>
      <c r="K7" s="462">
        <f>landbouw!K8</f>
        <v>0</v>
      </c>
      <c r="L7" s="462">
        <f>landbouw!L8</f>
        <v>0</v>
      </c>
      <c r="M7" s="462">
        <f>landbouw!M8</f>
        <v>0</v>
      </c>
      <c r="N7" s="462">
        <f>landbouw!N8</f>
        <v>0</v>
      </c>
      <c r="O7" s="462">
        <f>landbouw!O8</f>
        <v>0</v>
      </c>
      <c r="P7" s="463">
        <f>landbouw!P8</f>
        <v>0</v>
      </c>
      <c r="Q7" s="461">
        <f t="shared" si="0"/>
        <v>12764.3233016429</v>
      </c>
    </row>
    <row r="8" spans="1:17">
      <c r="A8" s="461" t="s">
        <v>685</v>
      </c>
      <c r="B8" s="462">
        <f>industrie!B18</f>
        <v>3116.4519999999993</v>
      </c>
      <c r="C8" s="462">
        <f>industrie!C18</f>
        <v>0</v>
      </c>
      <c r="D8" s="462">
        <f>industrie!D18</f>
        <v>2892.0537360000003</v>
      </c>
      <c r="E8" s="462">
        <f>industrie!E18</f>
        <v>24.270357210850655</v>
      </c>
      <c r="F8" s="462">
        <f>industrie!F18</f>
        <v>1616.3037939948917</v>
      </c>
      <c r="G8" s="462">
        <f>industrie!G18</f>
        <v>0</v>
      </c>
      <c r="H8" s="462">
        <f>industrie!H18</f>
        <v>0</v>
      </c>
      <c r="I8" s="462">
        <f>industrie!I18</f>
        <v>0</v>
      </c>
      <c r="J8" s="462">
        <f>industrie!J18</f>
        <v>2.4126587238723149</v>
      </c>
      <c r="K8" s="462">
        <f>industrie!K18</f>
        <v>0</v>
      </c>
      <c r="L8" s="462">
        <f>industrie!L18</f>
        <v>0</v>
      </c>
      <c r="M8" s="462">
        <f>industrie!M18</f>
        <v>0</v>
      </c>
      <c r="N8" s="462">
        <f>industrie!N18</f>
        <v>173.1867873151775</v>
      </c>
      <c r="O8" s="462">
        <f>industrie!O18</f>
        <v>0</v>
      </c>
      <c r="P8" s="463">
        <f>industrie!P18</f>
        <v>0</v>
      </c>
      <c r="Q8" s="461">
        <f t="shared" si="0"/>
        <v>7824.6793332447915</v>
      </c>
    </row>
    <row r="9" spans="1:17" s="467" customFormat="1">
      <c r="A9" s="465" t="s">
        <v>579</v>
      </c>
      <c r="B9" s="466">
        <f>transport!B14</f>
        <v>3.1298954551365381</v>
      </c>
      <c r="C9" s="466">
        <f>transport!C14</f>
        <v>0</v>
      </c>
      <c r="D9" s="466">
        <f>transport!D14</f>
        <v>7.9954257531104904</v>
      </c>
      <c r="E9" s="466">
        <f>transport!E14</f>
        <v>525.0610233914208</v>
      </c>
      <c r="F9" s="466">
        <f>transport!F14</f>
        <v>0</v>
      </c>
      <c r="G9" s="466">
        <f>transport!G14</f>
        <v>138473.16049028744</v>
      </c>
      <c r="H9" s="466">
        <f>transport!H14</f>
        <v>18389.950264184296</v>
      </c>
      <c r="I9" s="466">
        <f>transport!I14</f>
        <v>0</v>
      </c>
      <c r="J9" s="466">
        <f>transport!J14</f>
        <v>0</v>
      </c>
      <c r="K9" s="466">
        <f>transport!K14</f>
        <v>0</v>
      </c>
      <c r="L9" s="466">
        <f>transport!L14</f>
        <v>0</v>
      </c>
      <c r="M9" s="466">
        <f>transport!M14</f>
        <v>7007.5022895119482</v>
      </c>
      <c r="N9" s="466">
        <f>transport!N14</f>
        <v>0</v>
      </c>
      <c r="O9" s="466">
        <f>transport!O14</f>
        <v>0</v>
      </c>
      <c r="P9" s="466">
        <f>transport!P14</f>
        <v>0</v>
      </c>
      <c r="Q9" s="465">
        <f>SUM(B9:P9)</f>
        <v>164406.79938858337</v>
      </c>
    </row>
    <row r="10" spans="1:17">
      <c r="A10" s="461" t="s">
        <v>569</v>
      </c>
      <c r="B10" s="462">
        <f>transport!B54</f>
        <v>1651.0214913138357</v>
      </c>
      <c r="C10" s="462">
        <f>transport!C54</f>
        <v>0</v>
      </c>
      <c r="D10" s="462">
        <f>transport!D54</f>
        <v>0</v>
      </c>
      <c r="E10" s="462">
        <f>transport!E54</f>
        <v>0</v>
      </c>
      <c r="F10" s="462">
        <f>transport!F54</f>
        <v>0</v>
      </c>
      <c r="G10" s="462">
        <f>transport!G54</f>
        <v>1644.7240680760501</v>
      </c>
      <c r="H10" s="462">
        <f>transport!H54</f>
        <v>0</v>
      </c>
      <c r="I10" s="462">
        <f>transport!I54</f>
        <v>0</v>
      </c>
      <c r="J10" s="462">
        <f>transport!J54</f>
        <v>0</v>
      </c>
      <c r="K10" s="462">
        <f>transport!K54</f>
        <v>0</v>
      </c>
      <c r="L10" s="462">
        <f>transport!L54</f>
        <v>0</v>
      </c>
      <c r="M10" s="462">
        <f>transport!M54</f>
        <v>72.222546971279641</v>
      </c>
      <c r="N10" s="462">
        <f>transport!N54</f>
        <v>0</v>
      </c>
      <c r="O10" s="462">
        <f>transport!O54</f>
        <v>0</v>
      </c>
      <c r="P10" s="463">
        <f>transport!P54</f>
        <v>0</v>
      </c>
      <c r="Q10" s="461">
        <f t="shared" si="0"/>
        <v>3367.9681063611656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103342.00324103411</v>
      </c>
      <c r="C14" s="472">
        <f t="shared" ref="C14:Q14" ca="1" si="1">SUM(C4:C13)</f>
        <v>0</v>
      </c>
      <c r="D14" s="472">
        <f t="shared" ca="1" si="1"/>
        <v>123832.88672575312</v>
      </c>
      <c r="E14" s="472">
        <f t="shared" si="1"/>
        <v>2718.0372212431721</v>
      </c>
      <c r="F14" s="472">
        <f t="shared" ca="1" si="1"/>
        <v>17204.026097300415</v>
      </c>
      <c r="G14" s="472">
        <f t="shared" si="1"/>
        <v>140117.8845583635</v>
      </c>
      <c r="H14" s="472">
        <f t="shared" si="1"/>
        <v>18389.950264184296</v>
      </c>
      <c r="I14" s="472">
        <f t="shared" si="1"/>
        <v>0</v>
      </c>
      <c r="J14" s="472">
        <f t="shared" si="1"/>
        <v>318.83671182276242</v>
      </c>
      <c r="K14" s="472">
        <f t="shared" si="1"/>
        <v>0</v>
      </c>
      <c r="L14" s="472">
        <f t="shared" ca="1" si="1"/>
        <v>0</v>
      </c>
      <c r="M14" s="472">
        <f t="shared" si="1"/>
        <v>7079.7248364832276</v>
      </c>
      <c r="N14" s="472">
        <f t="shared" ca="1" si="1"/>
        <v>5845.917911076579</v>
      </c>
      <c r="O14" s="472">
        <f t="shared" si="1"/>
        <v>50.026666666666671</v>
      </c>
      <c r="P14" s="473">
        <f t="shared" si="1"/>
        <v>247.86666666666667</v>
      </c>
      <c r="Q14" s="473">
        <f t="shared" ca="1" si="1"/>
        <v>419147.16090059455</v>
      </c>
    </row>
    <row r="16" spans="1:17">
      <c r="A16" s="475" t="s">
        <v>574</v>
      </c>
      <c r="B16" s="829">
        <f ca="1">huishoudens!B10</f>
        <v>0.20341545212136611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11829.994787518925</v>
      </c>
      <c r="C21" s="462">
        <f t="shared" ref="C21:C30" ca="1" si="3">C4*$C$16</f>
        <v>0</v>
      </c>
      <c r="D21" s="462">
        <f t="shared" ref="D21:D30" si="4">D4*$D$16</f>
        <v>17879.419243708002</v>
      </c>
      <c r="E21" s="462">
        <f t="shared" ref="E21:E30" si="5">E4*$E$16</f>
        <v>322.71001405255629</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30032.124045279481</v>
      </c>
    </row>
    <row r="22" spans="1:17">
      <c r="A22" s="461" t="s">
        <v>156</v>
      </c>
      <c r="B22" s="462">
        <f t="shared" ca="1" si="2"/>
        <v>7207.9486378024449</v>
      </c>
      <c r="C22" s="462">
        <f t="shared" ca="1" si="3"/>
        <v>0</v>
      </c>
      <c r="D22" s="462">
        <f t="shared" ca="1" si="4"/>
        <v>6242.2472728440016</v>
      </c>
      <c r="E22" s="462">
        <f t="shared" si="5"/>
        <v>164.11617353561579</v>
      </c>
      <c r="F22" s="462">
        <f t="shared" ca="1" si="6"/>
        <v>1933.2033613444712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15547.515445526533</v>
      </c>
    </row>
    <row r="23" spans="1:17">
      <c r="A23" s="461" t="s">
        <v>194</v>
      </c>
      <c r="B23" s="462">
        <f t="shared" ca="1" si="2"/>
        <v>492.68707436595355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492.68707436595355</v>
      </c>
    </row>
    <row r="24" spans="1:17">
      <c r="A24" s="461" t="s">
        <v>112</v>
      </c>
      <c r="B24" s="462">
        <f t="shared" ca="1" si="2"/>
        <v>520.31536790398172</v>
      </c>
      <c r="C24" s="462">
        <f t="shared" ca="1" si="3"/>
        <v>0</v>
      </c>
      <c r="D24" s="462">
        <f t="shared" si="4"/>
        <v>306.76667137600003</v>
      </c>
      <c r="E24" s="462">
        <f t="shared" si="5"/>
        <v>5.4700382373123659</v>
      </c>
      <c r="F24" s="462">
        <f t="shared" si="6"/>
        <v>2228.7184936381036</v>
      </c>
      <c r="G24" s="462">
        <f t="shared" si="7"/>
        <v>0</v>
      </c>
      <c r="H24" s="462">
        <f t="shared" si="8"/>
        <v>0</v>
      </c>
      <c r="I24" s="462">
        <f t="shared" si="9"/>
        <v>0</v>
      </c>
      <c r="J24" s="462">
        <f t="shared" si="10"/>
        <v>112.0141147970071</v>
      </c>
      <c r="K24" s="462">
        <f t="shared" si="11"/>
        <v>0</v>
      </c>
      <c r="L24" s="462">
        <f t="shared" si="12"/>
        <v>0</v>
      </c>
      <c r="M24" s="462">
        <f t="shared" si="13"/>
        <v>0</v>
      </c>
      <c r="N24" s="462">
        <f t="shared" si="14"/>
        <v>0</v>
      </c>
      <c r="O24" s="462">
        <f t="shared" si="15"/>
        <v>0</v>
      </c>
      <c r="P24" s="463">
        <f t="shared" si="16"/>
        <v>0</v>
      </c>
      <c r="Q24" s="461">
        <f t="shared" ca="1" si="17"/>
        <v>3173.2846859524047</v>
      </c>
    </row>
    <row r="25" spans="1:17">
      <c r="A25" s="461" t="s">
        <v>685</v>
      </c>
      <c r="B25" s="462">
        <f t="shared" ca="1" si="2"/>
        <v>633.93449259453553</v>
      </c>
      <c r="C25" s="462">
        <f t="shared" ca="1" si="3"/>
        <v>0</v>
      </c>
      <c r="D25" s="462">
        <f t="shared" si="4"/>
        <v>584.19485467200013</v>
      </c>
      <c r="E25" s="462">
        <f t="shared" si="5"/>
        <v>5.5093710868630987</v>
      </c>
      <c r="F25" s="462">
        <f t="shared" si="6"/>
        <v>431.55311299663612</v>
      </c>
      <c r="G25" s="462">
        <f t="shared" si="7"/>
        <v>0</v>
      </c>
      <c r="H25" s="462">
        <f t="shared" si="8"/>
        <v>0</v>
      </c>
      <c r="I25" s="462">
        <f t="shared" si="9"/>
        <v>0</v>
      </c>
      <c r="J25" s="462">
        <f t="shared" si="10"/>
        <v>0.85408118825079948</v>
      </c>
      <c r="K25" s="462">
        <f t="shared" si="11"/>
        <v>0</v>
      </c>
      <c r="L25" s="462">
        <f t="shared" si="12"/>
        <v>0</v>
      </c>
      <c r="M25" s="462">
        <f t="shared" si="13"/>
        <v>0</v>
      </c>
      <c r="N25" s="462">
        <f t="shared" si="14"/>
        <v>0</v>
      </c>
      <c r="O25" s="462">
        <f t="shared" si="15"/>
        <v>0</v>
      </c>
      <c r="P25" s="463">
        <f t="shared" si="16"/>
        <v>0</v>
      </c>
      <c r="Q25" s="461">
        <f t="shared" ca="1" si="17"/>
        <v>1656.0459125382858</v>
      </c>
    </row>
    <row r="26" spans="1:17" s="467" customFormat="1">
      <c r="A26" s="465" t="s">
        <v>579</v>
      </c>
      <c r="B26" s="823">
        <f t="shared" ca="1" si="2"/>
        <v>0.63666909909920788</v>
      </c>
      <c r="C26" s="466">
        <f t="shared" ca="1" si="3"/>
        <v>0</v>
      </c>
      <c r="D26" s="466">
        <f t="shared" si="4"/>
        <v>1.6150760021283193</v>
      </c>
      <c r="E26" s="466">
        <f t="shared" si="5"/>
        <v>119.18885230985252</v>
      </c>
      <c r="F26" s="466">
        <f t="shared" si="6"/>
        <v>0</v>
      </c>
      <c r="G26" s="466">
        <f t="shared" si="7"/>
        <v>36972.333850906747</v>
      </c>
      <c r="H26" s="466">
        <f t="shared" si="8"/>
        <v>4579.0976157818895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41672.872064099713</v>
      </c>
    </row>
    <row r="27" spans="1:17">
      <c r="A27" s="461" t="s">
        <v>569</v>
      </c>
      <c r="B27" s="462">
        <f t="shared" ca="1" si="2"/>
        <v>335.84328311769599</v>
      </c>
      <c r="C27" s="462">
        <f t="shared" ca="1" si="3"/>
        <v>0</v>
      </c>
      <c r="D27" s="462">
        <f t="shared" si="4"/>
        <v>0</v>
      </c>
      <c r="E27" s="462">
        <f t="shared" si="5"/>
        <v>0</v>
      </c>
      <c r="F27" s="462">
        <f t="shared" si="6"/>
        <v>0</v>
      </c>
      <c r="G27" s="462">
        <f t="shared" si="7"/>
        <v>439.14132617630543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774.98460929400142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21021.360312402634</v>
      </c>
      <c r="C31" s="472">
        <f t="shared" ca="1" si="18"/>
        <v>0</v>
      </c>
      <c r="D31" s="472">
        <f t="shared" ca="1" si="18"/>
        <v>25014.243118602135</v>
      </c>
      <c r="E31" s="472">
        <f t="shared" si="18"/>
        <v>616.99444922220005</v>
      </c>
      <c r="F31" s="472">
        <f t="shared" ca="1" si="18"/>
        <v>4593.4749679792103</v>
      </c>
      <c r="G31" s="472">
        <f t="shared" si="18"/>
        <v>37411.475177083055</v>
      </c>
      <c r="H31" s="472">
        <f t="shared" si="18"/>
        <v>4579.0976157818895</v>
      </c>
      <c r="I31" s="472">
        <f t="shared" si="18"/>
        <v>0</v>
      </c>
      <c r="J31" s="472">
        <f t="shared" si="18"/>
        <v>112.8681959852579</v>
      </c>
      <c r="K31" s="472">
        <f t="shared" si="18"/>
        <v>0</v>
      </c>
      <c r="L31" s="472">
        <f t="shared" ca="1" si="18"/>
        <v>0</v>
      </c>
      <c r="M31" s="472">
        <f t="shared" si="18"/>
        <v>0</v>
      </c>
      <c r="N31" s="472">
        <f t="shared" ca="1" si="18"/>
        <v>0</v>
      </c>
      <c r="O31" s="472">
        <f t="shared" si="18"/>
        <v>0</v>
      </c>
      <c r="P31" s="473">
        <f t="shared" si="18"/>
        <v>0</v>
      </c>
      <c r="Q31" s="473">
        <f t="shared" ca="1" si="18"/>
        <v>93349.513837056365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0.20341545212136611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0.20341545212136611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0.20341545212136611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2018-06-27T09:19:08Z</dcterms:modified>
</cp:coreProperties>
</file>