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K19" i="18"/>
  <c r="F16" i="16"/>
  <c r="L68" i="14"/>
  <c r="L69" s="1"/>
  <c r="B16" i="18"/>
  <c r="B78" i="14" s="1"/>
  <c r="C13" i="15"/>
  <c r="C16" s="1"/>
  <c r="D10" i="14" s="1"/>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G22" i="14"/>
  <c r="F8" i="17"/>
  <c r="K22" i="14"/>
  <c r="J8" i="17"/>
  <c r="O80" i="14"/>
  <c r="C97" i="18"/>
  <c r="I19" i="19"/>
  <c r="J35" i="14" s="1"/>
  <c r="B12" i="22"/>
  <c r="B13" i="48"/>
  <c r="C17" i="14"/>
  <c r="E31" i="20"/>
  <c r="F43" i="14" s="1"/>
  <c r="L16" i="16"/>
  <c r="L18" s="1"/>
  <c r="N6" i="17"/>
  <c r="N5" s="1"/>
  <c r="J9" i="14"/>
  <c r="J15" s="1"/>
  <c r="B81"/>
  <c r="D11" i="48"/>
  <c r="D14" i="15"/>
  <c r="F19" i="19"/>
  <c r="G35" i="14" s="1"/>
  <c r="L19" i="19"/>
  <c r="M35" i="14" s="1"/>
  <c r="E7" i="15"/>
  <c r="O5" i="16"/>
  <c r="O9" i="14"/>
  <c r="L11" i="48"/>
  <c r="L12" i="13"/>
  <c r="M37" i="14" s="1"/>
  <c r="J7" i="15"/>
  <c r="B13" i="16"/>
  <c r="C35"/>
  <c r="E19" i="18"/>
  <c r="I19"/>
  <c r="C80" i="14"/>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L28"/>
  <c r="F30"/>
  <c r="J30"/>
  <c r="N30"/>
  <c r="K22"/>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B50" i="13"/>
  <c r="J12" i="17"/>
  <c r="K48" i="14" s="1"/>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L8" i="17" l="1"/>
  <c r="L7" i="48" s="1"/>
  <c r="L24" s="1"/>
  <c r="L5" i="17"/>
  <c r="J81" i="14"/>
  <c r="L27" i="48"/>
  <c r="L29"/>
  <c r="O78" i="14"/>
  <c r="O81" s="1"/>
  <c r="B17" i="6" s="1"/>
  <c r="C19" i="18"/>
  <c r="D13" i="14"/>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F19" i="14"/>
  <c r="E14" i="22"/>
  <c r="K14" i="48"/>
  <c r="B34" i="13"/>
  <c r="B46" s="1"/>
  <c r="E5" s="1"/>
  <c r="E8" s="1"/>
  <c r="E12" s="1"/>
  <c r="F37" i="14" s="1"/>
  <c r="O18" i="16"/>
  <c r="L12" i="17"/>
  <c r="M48" i="14" s="1"/>
  <c r="M13" i="48"/>
  <c r="M30" s="1"/>
  <c r="M51" i="22"/>
  <c r="M50" s="1"/>
  <c r="M54" s="1"/>
  <c r="M10" i="48" s="1"/>
  <c r="M27" s="1"/>
  <c r="H31" i="20"/>
  <c r="I43" i="14" s="1"/>
  <c r="H13" i="48"/>
  <c r="H30" s="1"/>
  <c r="M31" i="20"/>
  <c r="N43" i="14" s="1"/>
  <c r="G50" i="22"/>
  <c r="G54" s="1"/>
  <c r="H18" i="14" s="1"/>
  <c r="G13" i="48"/>
  <c r="F20" i="14"/>
  <c r="H17"/>
  <c r="R17" s="1"/>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29"/>
  <c r="M25"/>
  <c r="M24"/>
  <c r="I31"/>
  <c r="C50" i="13"/>
  <c r="J5" s="1"/>
  <c r="J8" s="1"/>
  <c r="E7" i="48"/>
  <c r="E24" s="1"/>
  <c r="E12" i="17"/>
  <c r="F48" i="14" s="1"/>
  <c r="C5" i="48"/>
  <c r="C14" s="1"/>
  <c r="G14" i="22" l="1"/>
  <c r="G18" s="1"/>
  <c r="H45" i="14" s="1"/>
  <c r="E13"/>
  <c r="M22"/>
  <c r="J7" i="18"/>
  <c r="J9" s="1"/>
  <c r="E10" i="14"/>
  <c r="D5" i="48"/>
  <c r="D22" s="1"/>
  <c r="D31" s="1"/>
  <c r="J16" i="15"/>
  <c r="K10" i="14" s="1"/>
  <c r="C9" i="18"/>
  <c r="M7"/>
  <c r="M9" s="1"/>
  <c r="D67" i="14"/>
  <c r="N7" i="48"/>
  <c r="N24" s="1"/>
  <c r="N12" i="17"/>
  <c r="O48" i="14" s="1"/>
  <c r="K78"/>
  <c r="M16" i="18"/>
  <c r="M19" s="1"/>
  <c r="J19"/>
  <c r="O22" i="14"/>
  <c r="P15"/>
  <c r="P23" s="1"/>
  <c r="O8" i="48"/>
  <c r="O25" s="1"/>
  <c r="P13" i="14"/>
  <c r="F67"/>
  <c r="F69" s="1"/>
  <c r="E9" i="18"/>
  <c r="E16" i="15"/>
  <c r="F10" i="14" s="1"/>
  <c r="O22" i="16"/>
  <c r="P39" i="14" s="1"/>
  <c r="P41" s="1"/>
  <c r="P53" s="1"/>
  <c r="P55" s="1"/>
  <c r="J67"/>
  <c r="I9" i="18"/>
  <c r="I67" i="14"/>
  <c r="I69" s="1"/>
  <c r="H9" i="18"/>
  <c r="Q13" i="48"/>
  <c r="G58" i="22"/>
  <c r="H44" i="14" s="1"/>
  <c r="M58" i="22"/>
  <c r="N44" i="14" s="1"/>
  <c r="G10" i="48"/>
  <c r="G27" s="1"/>
  <c r="N18" i="14"/>
  <c r="R18" s="1"/>
  <c r="M18" i="22"/>
  <c r="N45" i="14"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N46" i="14" l="1"/>
  <c r="N53" s="1"/>
  <c r="K67"/>
  <c r="K69" s="1"/>
  <c r="E15"/>
  <c r="E23" s="1"/>
  <c r="B14" i="48"/>
  <c r="R22" i="14"/>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K13" i="14"/>
  <c r="K15" s="1"/>
  <c r="K23" s="1"/>
  <c r="I55"/>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E55" i="14"/>
  <c r="F8" i="48"/>
  <c r="N55" i="14"/>
  <c r="Q9" i="48"/>
  <c r="E25"/>
  <c r="E31" s="1"/>
  <c r="E14"/>
  <c r="N25"/>
  <c r="N14"/>
  <c r="E22" i="16"/>
  <c r="F39" i="14" s="1"/>
  <c r="F41" s="1"/>
  <c r="F53" s="1"/>
  <c r="F55" s="1"/>
  <c r="J22" i="16"/>
  <c r="K39" i="14" s="1"/>
  <c r="K41" s="1"/>
  <c r="K53" s="1"/>
  <c r="Q8" i="48"/>
  <c r="Q14" s="1"/>
  <c r="N31"/>
  <c r="F13" i="14"/>
  <c r="F15" s="1"/>
  <c r="F23" s="1"/>
  <c r="G14" i="48"/>
  <c r="H55" i="14"/>
  <c r="M14" i="48"/>
  <c r="R19" i="14"/>
  <c r="R20" s="1"/>
  <c r="M26" i="48"/>
  <c r="M31" s="1"/>
  <c r="O53" i="14"/>
  <c r="M53"/>
  <c r="M55" s="1"/>
  <c r="C12" i="13"/>
  <c r="D37" i="14" s="1"/>
  <c r="D41" s="1"/>
  <c r="C23" i="48"/>
  <c r="C24"/>
  <c r="C27"/>
  <c r="C28"/>
  <c r="C22"/>
  <c r="C25"/>
  <c r="C29"/>
  <c r="C21"/>
  <c r="C26"/>
  <c r="K55" i="14"/>
  <c r="R13"/>
  <c r="R15" s="1"/>
  <c r="F25" i="48"/>
  <c r="F31" s="1"/>
  <c r="F14"/>
  <c r="B18" i="15" l="1"/>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l="1"/>
  <c r="B28" s="1"/>
  <c r="Q28" s="1"/>
  <c r="R46" i="14"/>
  <c r="C36"/>
  <c r="R36" s="1"/>
  <c r="R41" s="1"/>
  <c r="C46"/>
  <c r="B29" i="48"/>
  <c r="Q29" s="1"/>
  <c r="B21" l="1"/>
  <c r="Q21" s="1"/>
  <c r="Q31" s="1"/>
  <c r="B24"/>
  <c r="Q24"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<sst xmlns="http://schemas.openxmlformats.org/spreadsheetml/2006/main" count="2027" uniqueCount="884">
  <si>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</si>
  <si>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</si>
  <si>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</si>
  <si>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</si>
  <si>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</si>
  <si>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</si>
  <si>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</si>
  <si>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</si>
  <si>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</si>
  <si>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</si>
  <si>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</si>
  <si>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</si>
  <si>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</si>
  <si>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</si>
  <si>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</si>
  <si>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</si>
  <si>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</si>
  <si>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</si>
  <si>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</si>
  <si>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</si>
  <si>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</si>
  <si>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</si>
  <si>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</si>
  <si>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</si>
  <si>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</si>
  <si>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</si>
  <si>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</si>
  <si>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</si>
  <si>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</si>
  <si>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</si>
  <si>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</si>
  <si>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</si>
  <si>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</si>
  <si>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</si>
  <si>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</si>
  <si>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</si>
  <si>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</si>
  <si>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</si>
  <si>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</si>
  <si>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</si>
  <si>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</si>
  <si>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</si>
  <si>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</si>
  <si>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</si>
  <si>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</si>
  <si>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</si>
  <si>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</si>
  <si>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</si>
  <si>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</si>
  <si>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</si>
  <si>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</si>
  <si>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</si>
  <si>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</si>
  <si>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</si>
  <si>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</si>
  <si>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</si>
  <si>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</si>
  <si>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</si>
  <si>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</si>
  <si>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</si>
  <si>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</si>
  <si>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</si>
  <si>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</si>
  <si>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</si>
  <si>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</si>
  <si>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</si>
  <si>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</si>
  <si>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</si>
  <si>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</si>
  <si>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</si>
  <si>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</si>
  <si>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</si>
  <si>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</si>
  <si>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</si>
  <si>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</si>
  <si>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</si>
  <si>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</si>
  <si>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</si>
  <si>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</si>
  <si>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</si>
  <si>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</si>
  <si>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</si>
  <si>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</si>
  <si>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</si>
  <si>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</si>
  <si>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</si>
  <si>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</si>
  <si>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</si>
  <si>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</si>
  <si>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</si>
  <si>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</si>
  <si>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</si>
  <si>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</si>
  <si>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</si>
  <si>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</si>
  <si>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</si>
  <si>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</si>
  <si>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</si>
  <si>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</si>
  <si>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</si>
  <si>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</si>
  <si>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</si>
  <si>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</si>
  <si>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</si>
  <si>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</si>
  <si>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</si>
  <si>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</si>
  <si>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</si>
  <si>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</si>
  <si>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</si>
  <si>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</si>
  <si>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</si>
  <si>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</si>
  <si>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</si>
  <si>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</si>
  <si>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</si>
  <si>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</si>
  <si>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</si>
  <si>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</si>
  <si>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</si>
  <si>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</si>
  <si>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</si>
  <si>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</si>
  <si>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</si>
  <si>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</si>
  <si>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</si>
  <si>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</si>
  <si>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</si>
  <si>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</si>
  <si>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</si>
  <si>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</si>
  <si>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</si>
  <si>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</si>
  <si>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</si>
  <si>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</si>
  <si>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</si>
  <si>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</si>
  <si>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</si>
  <si>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</si>
  <si>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</si>
  <si>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</si>
  <si>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</si>
  <si>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</si>
  <si>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</si>
  <si>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</si>
  <si>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</si>
  <si>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</si>
  <si>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</si>
  <si>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</si>
  <si>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</si>
  <si>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</si>
  <si>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</si>
  <si>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</si>
  <si>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</si>
  <si>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</si>
  <si>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</si>
  <si>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</si>
  <si>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</si>
  <si>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</si>
  <si>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</si>
  <si>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</si>
  <si>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</si>
  <si>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</si>
  <si>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</si>
  <si>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</si>
  <si>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</si>
  <si>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</si>
  <si>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</si>
  <si>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</si>
  <si>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</si>
  <si>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</si>
  <si>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</si>
  <si>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</si>
  <si>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</si>
  <si>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</si>
  <si>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</si>
  <si>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</si>
  <si>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</si>
  <si>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</si>
  <si>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</si>
  <si>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</si>
  <si>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</si>
  <si>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</si>
  <si>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</si>
  <si>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</si>
  <si>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</si>
  <si>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</si>
  <si>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</si>
  <si>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</si>
  <si>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</si>
  <si>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</si>
  <si>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</si>
  <si>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</si>
  <si>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</si>
  <si>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</si>
  <si>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</si>
  <si>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</si>
  <si>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</si>
  <si>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</si>
  <si>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</si>
  <si>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</si>
  <si>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</si>
  <si>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</si>
  <si>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</si>
  <si>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</si>
  <si>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</si>
  <si>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</si>
  <si>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</si>
  <si>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</si>
  <si>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</si>
  <si>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</si>
  <si>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</si>
  <si>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</si>
  <si>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</si>
  <si>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</si>
  <si>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</si>
  <si>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</si>
  <si>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</si>
  <si>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</si>
  <si>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</si>
  <si>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</si>
  <si>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</si>
  <si>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</si>
  <si>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</si>
  <si>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</si>
  <si>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</si>
  <si>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</si>
  <si>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</si>
  <si>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</si>
  <si>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</si>
  <si>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</si>
  <si>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</si>
  <si>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</si>
  <si>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</si>
  <si>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</si>
  <si>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</si>
  <si>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</si>
  <si>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</si>
  <si>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</si>
  <si>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</si>
  <si>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</si>
  <si>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</si>
  <si>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</si>
  <si>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</si>
  <si>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</si>
  <si>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</si>
  <si>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</si>
  <si>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</si>
  <si>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</si>
  <si>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</si>
  <si>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</si>
  <si>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</si>
  <si>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</si>
  <si>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</si>
  <si>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</si>
  <si>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</si>
  <si>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</si>
  <si>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</si>
  <si>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</si>
  <si>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</si>
  <si>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</si>
  <si>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</si>
  <si>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</si>
  <si>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</si>
  <si>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</si>
  <si>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</si>
  <si>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</si>
  <si>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</si>
  <si>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</si>
  <si>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</si>
  <si>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</si>
  <si>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</si>
  <si>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</si>
  <si>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</si>
  <si>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</si>
  <si>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</si>
  <si>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</si>
  <si>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</si>
  <si>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</si>
  <si>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</si>
  <si>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</si>
  <si>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</si>
  <si>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</si>
  <si>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</si>
  <si>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</si>
  <si>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</si>
  <si>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</si>
  <si>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</si>
  <si>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</si>
  <si>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</si>
  <si>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</si>
  <si>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</si>
  <si>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</si>
  <si>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</si>
  <si>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</si>
  <si>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</si>
  <si>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</si>
  <si>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</si>
  <si>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</si>
  <si>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</si>
  <si>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</si>
  <si>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</si>
  <si>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</si>
  <si>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</si>
  <si>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</si>
  <si>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</si>
  <si>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</si>
  <si>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</si>
  <si>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</si>
  <si>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</si>
  <si>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</si>
  <si>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</si>
  <si>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</si>
  <si>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</si>
  <si>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</si>
  <si>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</si>
  <si>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</si>
  <si>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</si>
  <si>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</si>
  <si>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</si>
  <si>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</si>
  <si>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</si>
  <si>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</si>
  <si>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</si>
  <si>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</si>
  <si>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</si>
  <si>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</si>
  <si>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</si>
  <si>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</si>
  <si>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</si>
  <si>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</si>
  <si>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</si>
  <si>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</si>
  <si>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</si>
  <si>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</si>
  <si>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</si>
  <si>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</si>
  <si>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</si>
  <si>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</si>
  <si>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</si>
  <si>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</si>
  <si>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</si>
  <si>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</si>
  <si>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</si>
  <si>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</si>
  <si>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</si>
  <si>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</si>
  <si>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</si>
  <si>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</si>
  <si>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</si>
  <si>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</si>
  <si>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</si>
  <si>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</si>
  <si>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</si>
  <si>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</si>
  <si>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</si>
  <si>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</si>
  <si>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</si>
  <si>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</si>
  <si>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</si>
  <si>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</si>
  <si>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</si>
  <si>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</si>
  <si>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</si>
  <si>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</si>
  <si>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</si>
  <si>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</si>
  <si>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</si>
  <si>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</si>
  <si>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</si>
  <si>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</si>
  <si>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</si>
  <si>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</si>
  <si>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</si>
  <si>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</si>
  <si>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</si>
  <si>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</si>
  <si>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</si>
  <si>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</si>
  <si>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</si>
  <si>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</si>
  <si>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</si>
  <si>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</si>
  <si>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</si>
  <si>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</si>
  <si>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</si>
  <si>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</si>
  <si>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</si>
  <si>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</si>
  <si>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</si>
  <si>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</si>
  <si>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</si>
  <si>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</si>
  <si>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</si>
  <si>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</si>
  <si>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</si>
  <si>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</si>
  <si>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</si>
  <si>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</si>
  <si>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</si>
  <si>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</si>
  <si>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</si>
  <si>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</si>
  <si>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</si>
  <si>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</si>
  <si>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</si>
  <si>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</si>
  <si>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</si>
  <si>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</si>
  <si>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</si>
  <si>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</si>
  <si>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</si>
  <si>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</si>
  <si>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</si>
  <si>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</si>
  <si>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</si>
  <si>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</si>
  <si>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</si>
  <si>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</si>
  <si>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</si>
  <si>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</si>
  <si>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</si>
  <si>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</si>
  <si>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</si>
  <si>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</si>
  <si>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</si>
  <si>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</si>
  <si>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</si>
  <si>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</si>
  <si>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</si>
  <si>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</si>
  <si>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</si>
  <si>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</si>
  <si>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</si>
  <si>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</si>
  <si>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</si>
  <si>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</si>
  <si>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</si>
  <si>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</si>
  <si>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</si>
  <si>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</si>
  <si>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</si>
  <si>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</si>
  <si>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</si>
  <si>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</si>
  <si>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</si>
  <si>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</si>
  <si>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</si>
  <si>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</si>
  <si>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</si>
  <si>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</si>
  <si>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</si>
  <si>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</si>
  <si>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</si>
  <si>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</si>
  <si>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</si>
  <si>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</si>
  <si>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</si>
  <si>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</si>
  <si>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</si>
  <si>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</si>
  <si>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</si>
  <si>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</si>
  <si>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</si>
  <si>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</si>
  <si>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</si>
  <si>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</si>
  <si>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</si>
  <si>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</si>
  <si>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</si>
  <si>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</si>
  <si>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</si>
  <si>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</si>
  <si>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</si>
  <si>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</si>
  <si>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</si>
  <si>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</si>
  <si>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</si>
  <si>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</si>
  <si>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</si>
  <si>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</si>
  <si>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</si>
  <si>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</si>
  <si>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</si>
  <si>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</si>
  <si>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</si>
  <si>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</si>
  <si>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</si>
  <si>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</si>
  <si>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</si>
  <si>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</si>
  <si>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</si>
  <si>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</si>
  <si>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</si>
  <si>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</si>
  <si>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</si>
  <si>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</si>
  <si>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</si>
  <si>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</si>
  <si>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</si>
  <si>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</si>
  <si>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</si>
  <si>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</si>
  <si>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</si>
  <si>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</si>
  <si>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</si>
  <si>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</si>
  <si>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</si>
  <si>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</si>
  <si>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</si>
  <si>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</si>
  <si>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</si>
  <si>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</si>
  <si>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</si>
  <si>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</si>
  <si>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</si>
  <si>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</si>
  <si>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</si>
  <si>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</si>
  <si>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</si>
  <si>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</si>
  <si>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</si>
  <si>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</si>
  <si>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</si>
  <si>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</si>
  <si>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</si>
  <si>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</si>
  <si>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</si>
  <si>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</si>
  <si>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</si>
  <si>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</si>
  <si>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</si>
  <si>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</si>
  <si>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</si>
  <si>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</si>
  <si>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</si>
  <si>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</si>
  <si>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</si>
  <si>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</si>
  <si>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</si>
  <si>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</si>
  <si>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</si>
  <si>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</si>
  <si>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</si>
  <si>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</si>
  <si>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</si>
  <si>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</si>
  <si>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</si>
  <si>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</si>
  <si>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</si>
  <si>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</si>
  <si>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</si>
  <si>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</si>
  <si>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</si>
  <si>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</si>
  <si>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</si>
  <si>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</si>
  <si>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</si>
  <si>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</si>
  <si>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</si>
  <si>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</si>
  <si>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</si>
  <si>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</si>
  <si>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</si>
  <si>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</si>
  <si>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</si>
  <si>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</si>
  <si>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</si>
  <si>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</si>
  <si>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</si>
  <si>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</si>
  <si>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</si>
  <si>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</si>
  <si>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</si>
  <si>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</si>
  <si>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</si>
  <si>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</si>
  <si>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</si>
  <si>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</si>
  <si>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</si>
  <si>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</si>
  <si>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</si>
  <si>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</si>
  <si>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</si>
  <si>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</si>
  <si>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</si>
  <si>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</si>
  <si>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</si>
  <si>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</si>
  <si>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</si>
  <si>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</si>
  <si>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</si>
  <si>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</si>
  <si>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</si>
  <si>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</si>
  <si>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</si>
  <si>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</si>
  <si>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</si>
  <si>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</si>
  <si>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</si>
  <si>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</si>
  <si>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</si>
  <si>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</si>
  <si>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</si>
  <si>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</si>
  <si>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</si>
  <si>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</si>
  <si>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</si>
  <si>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</si>
  <si>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</si>
  <si>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</si>
  <si>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</si>
  <si>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</si>
  <si>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</si>
  <si>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</si>
  <si>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</si>
  <si>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</si>
  <si>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</si>
  <si>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</si>
  <si>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</si>
  <si>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</si>
  <si>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</si>
  <si>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</si>
  <si>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</si>
  <si>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</si>
  <si>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</si>
  <si>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</si>
  <si>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</si>
  <si>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</si>
  <si>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</si>
  <si>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</si>
  <si>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</si>
  <si>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</si>
  <si>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</si>
  <si>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</si>
  <si>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</si>
  <si>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</si>
  <si>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</si>
  <si>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</si>
  <si>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</si>
  <si>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</si>
  <si>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</si>
  <si>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</si>
  <si>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</si>
  <si>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</si>
  <si>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</si>
  <si>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</si>
  <si>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</si>
  <si>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</si>
  <si>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</si>
  <si>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</si>
  <si>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</si>
  <si>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</si>
  <si>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</si>
  <si>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</si>
  <si>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</si>
  <si>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</si>
  <si>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</si>
  <si>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</si>
  <si>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</si>
  <si>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</si>
  <si>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</si>
  <si>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</si>
  <si>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</si>
  <si>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</si>
  <si>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</si>
  <si>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</si>
  <si>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</si>
  <si>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</si>
  <si>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</si>
  <si>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</si>
  <si>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</si>
  <si>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</si>
  <si>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</si>
  <si>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</si>
  <si>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</si>
  <si>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</si>
  <si>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</si>
  <si>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</si>
  <si>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</si>
  <si>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</si>
  <si>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</si>
  <si>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</si>
  <si>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</si>
  <si>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</si>
  <si>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</si>
  <si>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</si>
  <si>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</si>
  <si>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</si>
  <si>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</si>
  <si>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</si>
  <si>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</si>
  <si>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</si>
  <si>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</si>
  <si>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</si>
  <si>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</si>
  <si>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</si>
  <si>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</si>
  <si>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</si>
  <si>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</si>
  <si>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</si>
  <si>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</si>
  <si>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</si>
  <si>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</si>
  <si>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</si>
  <si>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</si>
  <si>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</si>
  <si>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</si>
  <si>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</si>
  <si>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</si>
  <si>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</si>
  <si>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</si>
  <si>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</si>
  <si>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</si>
  <si>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</si>
  <si>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</si>
  <si>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</si>
  <si>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</si>
  <si>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</si>
  <si>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</si>
  <si>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</si>
  <si>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</si>
  <si>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</si>
  <si>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</si>
  <si>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</si>
  <si>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</si>
  <si>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</si>
  <si>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</si>
  <si>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</si>
  <si>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</si>
  <si>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</si>
  <si>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</si>
  <si>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</si>
  <si>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</si>
  <si>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</si>
  <si>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</si>
  <si>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</si>
  <si>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</si>
  <si>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</si>
  <si>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</si>
  <si>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</si>
  <si>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</si>
  <si>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</si>
  <si>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</si>
  <si>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</si>
  <si>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</si>
  <si>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</si>
  <si>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</si>
  <si>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</si>
  <si>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</si>
  <si>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</si>
  <si>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</si>
  <si>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</si>
  <si>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</si>
  <si>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</si>
  <si>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</si>
  <si>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</si>
  <si>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</si>
  <si>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</si>
  <si>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</si>
  <si>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</si>
  <si>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</si>
  <si>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</si>
  <si>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</si>
  <si>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</si>
  <si>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</si>
  <si>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</si>
  <si>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</si>
  <si>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</si>
  <si>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</si>
  <si>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</si>
  <si>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</si>
  <si>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</si>
  <si>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</si>
  <si>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</si>
  <si>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</si>
  <si>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</si>
  <si>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</si>
  <si>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</si>
  <si>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</si>
  <si>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</si>
  <si>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</si>
  <si>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</si>
  <si>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</si>
  <si>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</si>
  <si>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</si>
  <si>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</si>
  <si>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</si>
  <si>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</si>
  <si>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</si>
  <si>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</si>
  <si>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</si>
  <si>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</si>
  <si>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</si>
  <si>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</si>
  <si>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</si>
  <si>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</si>
  <si>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</si>
  <si>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</si>
  <si>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</si>
  <si>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</si>
  <si>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</si>
  <si>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</si>
  <si>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</si>
  <si>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</si>
  <si>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</si>
  <si>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</si>
  <si>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</si>
  <si>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</si>
  <si>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</si>
  <si>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</si>
  <si>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</si>
  <si>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</si>
  <si>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</si>
  <si>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</si>
  <si>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</si>
  <si>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</si>
  <si>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</si>
  <si>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</si>
  <si>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</si>
  <si>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</si>
  <si>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</si>
  <si>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</si>
  <si>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</si>
  <si>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</si>
  <si>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</si>
  <si>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</si>
  <si>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</si>
  <si>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</si>
  <si>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</si>
  <si>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</si>
  <si>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</si>
  <si>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</si>
  <si>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</si>
  <si>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</si>
  <si>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</si>
  <si>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</si>
  <si>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</si>
  <si>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</si>
  <si>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</si>
  <si>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</si>
  <si>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</si>
  <si>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</si>
  <si>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</si>
  <si>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</si>
  <si>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</si>
  <si>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</si>
  <si>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</si>
  <si>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</si>
  <si>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</si>
  <si>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</si>
  <si>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</si>
  <si>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</si>
  <si>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</si>
  <si>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</si>
  <si>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</si>
  <si>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</si>
  <si>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</si>
  <si>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</si>
  <si>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</si>
  <si>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</si>
  <si>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</si>
  <si>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</si>
  <si>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</si>
  <si>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</si>
  <si>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</si>
  <si>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</si>
  <si>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</si>
  <si>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</si>
  <si>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</si>
  <si>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</si>
  <si>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34040</t>
  </si>
  <si>
    <t>WAREGEM</t>
  </si>
  <si>
    <t>Paarden&amp;pony's 200 - 600 kg</t>
  </si>
  <si>
    <t>Paarden&amp;pony's &lt; 200 kg</t>
  </si>
  <si>
    <t>op basis van VEA (maart 2018) en Inventaris Hernieuwbare Energiebronnen (juni 2018)</t>
  </si>
  <si>
    <t>VEA (juni 2018)</t>
  </si>
  <si>
    <t>Electrabel NV</t>
  </si>
  <si>
    <t>Gewijde Boomstraat 46, 1050 Elsene</t>
  </si>
  <si>
    <t>BGS-0039 Primeur biogas</t>
  </si>
  <si>
    <t>biogas - overig</t>
  </si>
  <si>
    <t>niet WKK interne verbrandingsmotor (gas)</t>
  </si>
  <si>
    <t>Schoendalestraat 212, 8793 Sint-Eloois-Vijve</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</si>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</sst>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34040</v>
      </c>
      <c r="B6" s="397"/>
      <c r="C6" s="398"/>
    </row>
    <row r="7" spans="1:7" s="395" customFormat="1" ht="15.75" customHeight="1">
      <c r="A7" s="399" t="str">
        <f>txtMunicipality</f>
        <v>WAREGEM</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34040</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15264</v>
      </c>
      <c r="C9" s="338">
        <v>15588</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1605</v>
      </c>
    </row>
    <row r="15" spans="1:6">
      <c r="A15" s="1205" t="s">
        <v>184</v>
      </c>
      <c r="B15" s="335">
        <v>22</v>
      </c>
    </row>
    <row r="16" spans="1:6">
      <c r="A16" s="1205" t="s">
        <v>6</v>
      </c>
      <c r="B16" s="335">
        <v>608</v>
      </c>
    </row>
    <row r="17" spans="1:6">
      <c r="A17" s="1205" t="s">
        <v>7</v>
      </c>
      <c r="B17" s="335">
        <v>504</v>
      </c>
    </row>
    <row r="18" spans="1:6">
      <c r="A18" s="1205" t="s">
        <v>8</v>
      </c>
      <c r="B18" s="335">
        <v>692</v>
      </c>
    </row>
    <row r="19" spans="1:6">
      <c r="A19" s="1205" t="s">
        <v>9</v>
      </c>
      <c r="B19" s="335">
        <v>602</v>
      </c>
    </row>
    <row r="20" spans="1:6">
      <c r="A20" s="1205" t="s">
        <v>10</v>
      </c>
      <c r="B20" s="335">
        <v>583</v>
      </c>
    </row>
    <row r="21" spans="1:6">
      <c r="A21" s="1205" t="s">
        <v>11</v>
      </c>
      <c r="B21" s="335">
        <v>1650</v>
      </c>
    </row>
    <row r="22" spans="1:6">
      <c r="A22" s="1205" t="s">
        <v>12</v>
      </c>
      <c r="B22" s="335">
        <v>5379</v>
      </c>
    </row>
    <row r="23" spans="1:6">
      <c r="A23" s="1205" t="s">
        <v>13</v>
      </c>
      <c r="B23" s="335">
        <v>41</v>
      </c>
    </row>
    <row r="24" spans="1:6">
      <c r="A24" s="1205" t="s">
        <v>14</v>
      </c>
      <c r="B24" s="335">
        <v>3</v>
      </c>
    </row>
    <row r="25" spans="1:6">
      <c r="A25" s="1205" t="s">
        <v>15</v>
      </c>
      <c r="B25" s="335">
        <v>464</v>
      </c>
    </row>
    <row r="26" spans="1:6">
      <c r="A26" s="1205" t="s">
        <v>16</v>
      </c>
      <c r="B26" s="335">
        <v>215</v>
      </c>
    </row>
    <row r="27" spans="1:6">
      <c r="A27" s="1205" t="s">
        <v>17</v>
      </c>
      <c r="B27" s="335">
        <v>23</v>
      </c>
    </row>
    <row r="28" spans="1:6" s="341" customFormat="1">
      <c r="A28" s="1206" t="s">
        <v>18</v>
      </c>
      <c r="B28" s="1206">
        <v>37386</v>
      </c>
    </row>
    <row r="29" spans="1:6">
      <c r="A29" s="1206" t="s">
        <v>873</v>
      </c>
      <c r="B29" s="1206">
        <v>62</v>
      </c>
      <c r="C29" s="341"/>
      <c r="D29" s="341"/>
      <c r="E29" s="341"/>
      <c r="F29" s="341"/>
    </row>
    <row r="30" spans="1:6">
      <c r="A30" s="1201" t="s">
        <v>874</v>
      </c>
      <c r="B30" s="1201">
        <v>30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4</v>
      </c>
      <c r="F36" s="335">
        <v>5994</v>
      </c>
    </row>
    <row r="37" spans="1:6">
      <c r="A37" s="1205" t="s">
        <v>25</v>
      </c>
      <c r="B37" s="1205" t="s">
        <v>28</v>
      </c>
      <c r="C37" s="335">
        <v>0</v>
      </c>
      <c r="D37" s="335">
        <v>0</v>
      </c>
      <c r="E37" s="335">
        <v>0</v>
      </c>
      <c r="F37" s="335">
        <v>0</v>
      </c>
    </row>
    <row r="38" spans="1:6">
      <c r="A38" s="1205" t="s">
        <v>25</v>
      </c>
      <c r="B38" s="1205" t="s">
        <v>29</v>
      </c>
      <c r="C38" s="335">
        <v>0</v>
      </c>
      <c r="D38" s="335">
        <v>0</v>
      </c>
      <c r="E38" s="335">
        <v>7</v>
      </c>
      <c r="F38" s="335">
        <v>96325.851074926206</v>
      </c>
    </row>
    <row r="39" spans="1:6">
      <c r="A39" s="1205" t="s">
        <v>30</v>
      </c>
      <c r="B39" s="1205" t="s">
        <v>31</v>
      </c>
      <c r="C39" s="335">
        <v>8476</v>
      </c>
      <c r="D39" s="335">
        <v>141967885.57781699</v>
      </c>
      <c r="E39" s="335">
        <v>14729</v>
      </c>
      <c r="F39" s="335">
        <v>63839561.787289001</v>
      </c>
    </row>
    <row r="40" spans="1:6">
      <c r="A40" s="1205" t="s">
        <v>30</v>
      </c>
      <c r="B40" s="1205" t="s">
        <v>29</v>
      </c>
      <c r="C40" s="335">
        <v>0</v>
      </c>
      <c r="D40" s="335">
        <v>0</v>
      </c>
      <c r="E40" s="335">
        <v>1</v>
      </c>
      <c r="F40" s="335">
        <v>1073.9069349972999</v>
      </c>
    </row>
    <row r="41" spans="1:6">
      <c r="A41" s="1205" t="s">
        <v>32</v>
      </c>
      <c r="B41" s="1205" t="s">
        <v>33</v>
      </c>
      <c r="C41" s="335">
        <v>155</v>
      </c>
      <c r="D41" s="335">
        <v>9401109.8968331292</v>
      </c>
      <c r="E41" s="335">
        <v>452</v>
      </c>
      <c r="F41" s="335">
        <v>16527643.4156348</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16</v>
      </c>
      <c r="D44" s="335">
        <v>8019016.7107919399</v>
      </c>
      <c r="E44" s="335">
        <v>64</v>
      </c>
      <c r="F44" s="335">
        <v>5938148.57904894</v>
      </c>
    </row>
    <row r="45" spans="1:6">
      <c r="A45" s="1205" t="s">
        <v>32</v>
      </c>
      <c r="B45" s="1205" t="s">
        <v>37</v>
      </c>
      <c r="C45" s="335">
        <v>3</v>
      </c>
      <c r="D45" s="335">
        <v>47871.620058744003</v>
      </c>
      <c r="E45" s="335">
        <v>14</v>
      </c>
      <c r="F45" s="335">
        <v>1240501.8728294901</v>
      </c>
    </row>
    <row r="46" spans="1:6">
      <c r="A46" s="1205" t="s">
        <v>32</v>
      </c>
      <c r="B46" s="1205" t="s">
        <v>38</v>
      </c>
      <c r="C46" s="335">
        <v>0</v>
      </c>
      <c r="D46" s="335">
        <v>0</v>
      </c>
      <c r="E46" s="335">
        <v>0</v>
      </c>
      <c r="F46" s="335">
        <v>0</v>
      </c>
    </row>
    <row r="47" spans="1:6">
      <c r="A47" s="1205" t="s">
        <v>32</v>
      </c>
      <c r="B47" s="1205" t="s">
        <v>39</v>
      </c>
      <c r="C47" s="335">
        <v>0</v>
      </c>
      <c r="D47" s="335">
        <v>0</v>
      </c>
      <c r="E47" s="335">
        <v>10</v>
      </c>
      <c r="F47" s="335">
        <v>982432.66932175902</v>
      </c>
    </row>
    <row r="48" spans="1:6">
      <c r="A48" s="1205" t="s">
        <v>32</v>
      </c>
      <c r="B48" s="1205" t="s">
        <v>29</v>
      </c>
      <c r="C48" s="335">
        <v>106</v>
      </c>
      <c r="D48" s="335">
        <v>210018181.28715301</v>
      </c>
      <c r="E48" s="335">
        <v>152</v>
      </c>
      <c r="F48" s="335">
        <v>157013854.87284601</v>
      </c>
    </row>
    <row r="49" spans="1:6">
      <c r="A49" s="1205" t="s">
        <v>32</v>
      </c>
      <c r="B49" s="1205" t="s">
        <v>40</v>
      </c>
      <c r="C49" s="335">
        <v>18</v>
      </c>
      <c r="D49" s="335">
        <v>21121656.362299599</v>
      </c>
      <c r="E49" s="335">
        <v>90</v>
      </c>
      <c r="F49" s="335">
        <v>77095635.665450796</v>
      </c>
    </row>
    <row r="50" spans="1:6">
      <c r="A50" s="1205" t="s">
        <v>32</v>
      </c>
      <c r="B50" s="1205" t="s">
        <v>41</v>
      </c>
      <c r="C50" s="335">
        <v>13</v>
      </c>
      <c r="D50" s="335">
        <v>1186401.7716103001</v>
      </c>
      <c r="E50" s="335">
        <v>25</v>
      </c>
      <c r="F50" s="335">
        <v>1105498.8770195199</v>
      </c>
    </row>
    <row r="51" spans="1:6">
      <c r="A51" s="1205" t="s">
        <v>42</v>
      </c>
      <c r="B51" s="1205" t="s">
        <v>43</v>
      </c>
      <c r="C51" s="335">
        <v>11</v>
      </c>
      <c r="D51" s="335">
        <v>842337.51262271998</v>
      </c>
      <c r="E51" s="335">
        <v>67</v>
      </c>
      <c r="F51" s="335">
        <v>1247256.62049984</v>
      </c>
    </row>
    <row r="52" spans="1:6">
      <c r="A52" s="1205" t="s">
        <v>42</v>
      </c>
      <c r="B52" s="1205" t="s">
        <v>29</v>
      </c>
      <c r="C52" s="335">
        <v>9</v>
      </c>
      <c r="D52" s="335">
        <v>516761.61158144003</v>
      </c>
      <c r="E52" s="335">
        <v>25</v>
      </c>
      <c r="F52" s="335">
        <v>363398.59440047102</v>
      </c>
    </row>
    <row r="53" spans="1:6">
      <c r="A53" s="1205" t="s">
        <v>44</v>
      </c>
      <c r="B53" s="1205" t="s">
        <v>45</v>
      </c>
      <c r="C53" s="335">
        <v>223</v>
      </c>
      <c r="D53" s="335">
        <v>6197344.85315587</v>
      </c>
      <c r="E53" s="335">
        <v>455</v>
      </c>
      <c r="F53" s="335">
        <v>2642316.3595551802</v>
      </c>
    </row>
    <row r="54" spans="1:6">
      <c r="A54" s="1205" t="s">
        <v>46</v>
      </c>
      <c r="B54" s="1205" t="s">
        <v>47</v>
      </c>
      <c r="C54" s="335">
        <v>0</v>
      </c>
      <c r="D54" s="335">
        <v>0</v>
      </c>
      <c r="E54" s="335">
        <v>3</v>
      </c>
      <c r="F54" s="335">
        <v>2889159</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74</v>
      </c>
      <c r="D57" s="335">
        <v>3682515.3542701099</v>
      </c>
      <c r="E57" s="335">
        <v>167</v>
      </c>
      <c r="F57" s="335">
        <v>3243642.0641077701</v>
      </c>
    </row>
    <row r="58" spans="1:6">
      <c r="A58" s="1205" t="s">
        <v>49</v>
      </c>
      <c r="B58" s="1205" t="s">
        <v>51</v>
      </c>
      <c r="C58" s="335">
        <v>44</v>
      </c>
      <c r="D58" s="335">
        <v>1495829.3042256599</v>
      </c>
      <c r="E58" s="335">
        <v>81</v>
      </c>
      <c r="F58" s="335">
        <v>4845450.51588054</v>
      </c>
    </row>
    <row r="59" spans="1:6">
      <c r="A59" s="1205" t="s">
        <v>49</v>
      </c>
      <c r="B59" s="1205" t="s">
        <v>52</v>
      </c>
      <c r="C59" s="335">
        <v>248</v>
      </c>
      <c r="D59" s="335">
        <v>15613152.3093003</v>
      </c>
      <c r="E59" s="335">
        <v>652</v>
      </c>
      <c r="F59" s="335">
        <v>30094755.738849599</v>
      </c>
    </row>
    <row r="60" spans="1:6">
      <c r="A60" s="1205" t="s">
        <v>49</v>
      </c>
      <c r="B60" s="1205" t="s">
        <v>53</v>
      </c>
      <c r="C60" s="335">
        <v>118</v>
      </c>
      <c r="D60" s="335">
        <v>10106892.7332434</v>
      </c>
      <c r="E60" s="335">
        <v>176</v>
      </c>
      <c r="F60" s="335">
        <v>6346434.0251962095</v>
      </c>
    </row>
    <row r="61" spans="1:6">
      <c r="A61" s="1205" t="s">
        <v>49</v>
      </c>
      <c r="B61" s="1205" t="s">
        <v>54</v>
      </c>
      <c r="C61" s="335">
        <v>329</v>
      </c>
      <c r="D61" s="335">
        <v>76300783.673406094</v>
      </c>
      <c r="E61" s="335">
        <v>887</v>
      </c>
      <c r="F61" s="335">
        <v>13753828.6434211</v>
      </c>
    </row>
    <row r="62" spans="1:6">
      <c r="A62" s="1205" t="s">
        <v>49</v>
      </c>
      <c r="B62" s="1205" t="s">
        <v>55</v>
      </c>
      <c r="C62" s="335">
        <v>15</v>
      </c>
      <c r="D62" s="335">
        <v>1021566.61735527</v>
      </c>
      <c r="E62" s="335">
        <v>21</v>
      </c>
      <c r="F62" s="335">
        <v>495829.781638821</v>
      </c>
    </row>
    <row r="63" spans="1:6">
      <c r="A63" s="1205" t="s">
        <v>49</v>
      </c>
      <c r="B63" s="1205" t="s">
        <v>29</v>
      </c>
      <c r="C63" s="335">
        <v>287</v>
      </c>
      <c r="D63" s="335">
        <v>17146691.7616423</v>
      </c>
      <c r="E63" s="335">
        <v>335</v>
      </c>
      <c r="F63" s="335">
        <v>13756232.637878399</v>
      </c>
    </row>
    <row r="64" spans="1:6">
      <c r="A64" s="1205" t="s">
        <v>56</v>
      </c>
      <c r="B64" s="1205" t="s">
        <v>57</v>
      </c>
      <c r="C64" s="335">
        <v>0</v>
      </c>
      <c r="D64" s="335">
        <v>0</v>
      </c>
      <c r="E64" s="335">
        <v>0</v>
      </c>
      <c r="F64" s="335">
        <v>0</v>
      </c>
    </row>
    <row r="65" spans="1:6">
      <c r="A65" s="1205" t="s">
        <v>56</v>
      </c>
      <c r="B65" s="1205" t="s">
        <v>29</v>
      </c>
      <c r="C65" s="335">
        <v>2</v>
      </c>
      <c r="D65" s="335">
        <v>38345.914755084501</v>
      </c>
      <c r="E65" s="335">
        <v>3</v>
      </c>
      <c r="F65" s="335">
        <v>103911.653166188</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5</v>
      </c>
      <c r="D68" s="335">
        <v>124847.88294543599</v>
      </c>
      <c r="E68" s="335">
        <v>32</v>
      </c>
      <c r="F68" s="335">
        <v>270517.68821145402</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85771661</v>
      </c>
      <c r="E73" s="335">
        <v>96167027.366195381</v>
      </c>
    </row>
    <row r="74" spans="1:6">
      <c r="A74" s="1205" t="s">
        <v>64</v>
      </c>
      <c r="B74" s="1205" t="s">
        <v>772</v>
      </c>
      <c r="C74" s="1216" t="s">
        <v>766</v>
      </c>
      <c r="D74" s="335">
        <v>9367589.8552234042</v>
      </c>
      <c r="E74" s="335">
        <v>10604762.89954049</v>
      </c>
    </row>
    <row r="75" spans="1:6">
      <c r="A75" s="1205" t="s">
        <v>65</v>
      </c>
      <c r="B75" s="1205" t="s">
        <v>771</v>
      </c>
      <c r="C75" s="1216" t="s">
        <v>767</v>
      </c>
      <c r="D75" s="335">
        <v>32879009</v>
      </c>
      <c r="E75" s="335">
        <v>35396982.851065367</v>
      </c>
    </row>
    <row r="76" spans="1:6">
      <c r="A76" s="1205" t="s">
        <v>65</v>
      </c>
      <c r="B76" s="1205" t="s">
        <v>772</v>
      </c>
      <c r="C76" s="1216" t="s">
        <v>768</v>
      </c>
      <c r="D76" s="335">
        <v>1933205.8552234047</v>
      </c>
      <c r="E76" s="335">
        <v>2161847.8433216871</v>
      </c>
    </row>
    <row r="77" spans="1:6">
      <c r="A77" s="1205" t="s">
        <v>66</v>
      </c>
      <c r="B77" s="1205" t="s">
        <v>771</v>
      </c>
      <c r="C77" s="1216" t="s">
        <v>769</v>
      </c>
      <c r="D77" s="335">
        <v>168813419</v>
      </c>
      <c r="E77" s="335">
        <v>205685150.72418639</v>
      </c>
    </row>
    <row r="78" spans="1:6">
      <c r="A78" s="1201" t="s">
        <v>66</v>
      </c>
      <c r="B78" s="1201" t="s">
        <v>772</v>
      </c>
      <c r="C78" s="1201" t="s">
        <v>770</v>
      </c>
      <c r="D78" s="1201">
        <v>44270898</v>
      </c>
      <c r="E78" s="1201">
        <v>50350056.22741469</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577586.28955319035</v>
      </c>
      <c r="C83" s="335">
        <v>545153.85835482844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5357.776236320422</v>
      </c>
    </row>
    <row r="92" spans="1:6">
      <c r="A92" s="1201" t="s">
        <v>69</v>
      </c>
      <c r="B92" s="338">
        <v>22096.033479759793</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5216</v>
      </c>
    </row>
    <row r="98" spans="1:6">
      <c r="A98" s="1205" t="s">
        <v>72</v>
      </c>
      <c r="B98" s="335">
        <v>2</v>
      </c>
    </row>
    <row r="99" spans="1:6">
      <c r="A99" s="1205" t="s">
        <v>73</v>
      </c>
      <c r="B99" s="335">
        <v>157</v>
      </c>
    </row>
    <row r="100" spans="1:6">
      <c r="A100" s="1205" t="s">
        <v>74</v>
      </c>
      <c r="B100" s="335">
        <v>1363</v>
      </c>
    </row>
    <row r="101" spans="1:6">
      <c r="A101" s="1205" t="s">
        <v>75</v>
      </c>
      <c r="B101" s="335">
        <v>179</v>
      </c>
    </row>
    <row r="102" spans="1:6">
      <c r="A102" s="1205" t="s">
        <v>76</v>
      </c>
      <c r="B102" s="335">
        <v>330</v>
      </c>
    </row>
    <row r="103" spans="1:6">
      <c r="A103" s="1205" t="s">
        <v>77</v>
      </c>
      <c r="B103" s="335">
        <v>222</v>
      </c>
    </row>
    <row r="104" spans="1:6">
      <c r="A104" s="1205" t="s">
        <v>78</v>
      </c>
      <c r="B104" s="335">
        <v>6001</v>
      </c>
    </row>
    <row r="105" spans="1:6">
      <c r="A105" s="1201" t="s">
        <v>79</v>
      </c>
      <c r="B105" s="1201">
        <v>20</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29</v>
      </c>
      <c r="C123" s="335">
        <v>15</v>
      </c>
    </row>
    <row r="124" spans="1:6">
      <c r="A124" s="1201" t="s">
        <v>89</v>
      </c>
      <c r="B124" s="335">
        <v>4</v>
      </c>
      <c r="C124" s="335">
        <v>4</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123</v>
      </c>
    </row>
    <row r="130" spans="1:6">
      <c r="A130" s="1205" t="s">
        <v>295</v>
      </c>
      <c r="B130" s="335">
        <v>0</v>
      </c>
    </row>
    <row r="131" spans="1:6">
      <c r="A131" s="1205" t="s">
        <v>296</v>
      </c>
      <c r="B131" s="335">
        <v>0</v>
      </c>
    </row>
    <row r="132" spans="1:6">
      <c r="A132" s="1201" t="s">
        <v>297</v>
      </c>
      <c r="B132" s="338">
        <v>9</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409370.66375724215</v>
      </c>
      <c r="C3" s="44" t="s">
        <v>170</v>
      </c>
      <c r="D3" s="44"/>
      <c r="E3" s="157"/>
      <c r="F3" s="44"/>
      <c r="G3" s="44"/>
      <c r="H3" s="44"/>
      <c r="I3" s="44"/>
      <c r="J3" s="44"/>
      <c r="K3" s="97"/>
    </row>
    <row r="4" spans="1:11">
      <c r="A4" s="365" t="s">
        <v>171</v>
      </c>
      <c r="B4" s="50">
        <f>IF(ISERROR('SEAP template'!B69),0,'SEAP template'!B69)</f>
        <v>30680.309716080214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0.20443714133049237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2889.1590000000001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2889.1590000000001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0.20443714133049237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590.65140680926402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63840.635694224002</v>
      </c>
      <c r="C5" s="18">
        <f>IF(ISERROR('Eigen informatie GS &amp; warmtenet'!B57),0,'Eigen informatie GS &amp; warmtenet'!B57)</f>
        <v>0</v>
      </c>
      <c r="D5" s="31">
        <f>(SUM(HH_hh_gas_kWh,HH_rest_gas_kWh)/1000)*0.902</f>
        <v>128055.03279119093</v>
      </c>
      <c r="E5" s="18">
        <f>B46*B57</f>
        <v>7491.6468986399086</v>
      </c>
      <c r="F5" s="18">
        <f>B51*B62</f>
        <v>60542.225116316935</v>
      </c>
      <c r="G5" s="19"/>
      <c r="H5" s="18"/>
      <c r="I5" s="18"/>
      <c r="J5" s="18">
        <f>B50*B61+C50*C61</f>
        <v>0</v>
      </c>
      <c r="K5" s="18"/>
      <c r="L5" s="18"/>
      <c r="M5" s="18"/>
      <c r="N5" s="18">
        <f>B48*B59+C48*C59</f>
        <v>27738.6622651711</v>
      </c>
      <c r="O5" s="18">
        <f>B69*B70*B71</f>
        <v>221.99333333333334</v>
      </c>
      <c r="P5" s="18">
        <f>B77*B78*B79/1000-B77*B78*B79/1000/B80</f>
        <v>800.8</v>
      </c>
    </row>
    <row r="6" spans="1:16">
      <c r="A6" s="17" t="s">
        <v>639</v>
      </c>
      <c r="B6" s="831">
        <f>kWh_PV_kleiner_dan_10kW</f>
        <v>5357.776236320422</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69198.411930544418</v>
      </c>
      <c r="C8" s="22">
        <f>C5</f>
        <v>0</v>
      </c>
      <c r="D8" s="22">
        <f>D5</f>
        <v>128055.03279119093</v>
      </c>
      <c r="E8" s="22">
        <f>E5</f>
        <v>7491.6468986399086</v>
      </c>
      <c r="F8" s="22">
        <f>F5</f>
        <v>60542.225116316935</v>
      </c>
      <c r="G8" s="22"/>
      <c r="H8" s="22"/>
      <c r="I8" s="22"/>
      <c r="J8" s="22">
        <f>J5</f>
        <v>0</v>
      </c>
      <c r="K8" s="22"/>
      <c r="L8" s="22">
        <f>L5</f>
        <v>0</v>
      </c>
      <c r="M8" s="22">
        <f>M5</f>
        <v>0</v>
      </c>
      <c r="N8" s="22">
        <f>N5</f>
        <v>27738.6622651711</v>
      </c>
      <c r="O8" s="22">
        <f>O5</f>
        <v>221.99333333333334</v>
      </c>
      <c r="P8" s="22">
        <f>P5</f>
        <v>800.8</v>
      </c>
    </row>
    <row r="9" spans="1:16">
      <c r="B9" s="20"/>
      <c r="C9" s="20"/>
      <c r="D9" s="262"/>
      <c r="E9" s="20"/>
      <c r="F9" s="20"/>
      <c r="G9" s="20"/>
      <c r="H9" s="20"/>
      <c r="I9" s="20"/>
      <c r="J9" s="20"/>
      <c r="K9" s="20"/>
      <c r="L9" s="20"/>
      <c r="M9" s="20"/>
      <c r="N9" s="20"/>
      <c r="O9" s="20"/>
      <c r="P9" s="20"/>
    </row>
    <row r="10" spans="1:16">
      <c r="A10" s="25" t="s">
        <v>214</v>
      </c>
      <c r="B10" s="26">
        <f ca="1">'EF ele_warmte'!B12</f>
        <v>0.20443714133049237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14146.725519690339</v>
      </c>
      <c r="C12" s="24">
        <f ca="1">C10*C8</f>
        <v>0</v>
      </c>
      <c r="D12" s="24">
        <f>D8*D10</f>
        <v>25867.11662382057</v>
      </c>
      <c r="E12" s="24">
        <f>E10*E8</f>
        <v>1700.6038459912593</v>
      </c>
      <c r="F12" s="24">
        <f>F10*F8</f>
        <v>16164.774106056622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5216</v>
      </c>
      <c r="C18" s="169" t="s">
        <v>111</v>
      </c>
      <c r="D18" s="231"/>
      <c r="E18" s="16"/>
    </row>
    <row r="19" spans="1:7">
      <c r="A19" s="174" t="s">
        <v>72</v>
      </c>
      <c r="B19" s="38">
        <f>aantalw2001_ander</f>
        <v>2</v>
      </c>
      <c r="C19" s="169" t="s">
        <v>111</v>
      </c>
      <c r="D19" s="232"/>
      <c r="E19" s="16"/>
    </row>
    <row r="20" spans="1:7">
      <c r="A20" s="174" t="s">
        <v>73</v>
      </c>
      <c r="B20" s="38">
        <f>aantalw2001_propaan</f>
        <v>157</v>
      </c>
      <c r="C20" s="170">
        <f>IF(ISERROR(B20/SUM($B$20,$B$21,$B$22)*100),0,B20/SUM($B$20,$B$21,$B$22)*100)</f>
        <v>9.2407298410829899</v>
      </c>
      <c r="D20" s="232"/>
      <c r="E20" s="16"/>
    </row>
    <row r="21" spans="1:7">
      <c r="A21" s="174" t="s">
        <v>74</v>
      </c>
      <c r="B21" s="38">
        <f>aantalw2001_elektriciteit</f>
        <v>1363</v>
      </c>
      <c r="C21" s="170">
        <f>IF(ISERROR(B21/SUM($B$20,$B$21,$B$22)*100),0,B21/SUM($B$20,$B$21,$B$22)*100)</f>
        <v>80.223660977045313</v>
      </c>
      <c r="D21" s="232"/>
      <c r="E21" s="16"/>
    </row>
    <row r="22" spans="1:7">
      <c r="A22" s="174" t="s">
        <v>75</v>
      </c>
      <c r="B22" s="38">
        <f>aantalw2001_hout</f>
        <v>179</v>
      </c>
      <c r="C22" s="170">
        <f>IF(ISERROR(B22/SUM($B$20,$B$21,$B$22)*100),0,B22/SUM($B$20,$B$21,$B$22)*100)</f>
        <v>10.53560918187169</v>
      </c>
      <c r="D22" s="232"/>
      <c r="E22" s="16"/>
    </row>
    <row r="23" spans="1:7">
      <c r="A23" s="174" t="s">
        <v>76</v>
      </c>
      <c r="B23" s="38">
        <f>aantalw2001_niet_gespec</f>
        <v>330</v>
      </c>
      <c r="C23" s="169" t="s">
        <v>111</v>
      </c>
      <c r="D23" s="231"/>
      <c r="E23" s="16"/>
    </row>
    <row r="24" spans="1:7">
      <c r="A24" s="174" t="s">
        <v>77</v>
      </c>
      <c r="B24" s="38">
        <f>aantalw2001_steenkool</f>
        <v>222</v>
      </c>
      <c r="C24" s="169" t="s">
        <v>111</v>
      </c>
      <c r="D24" s="232"/>
      <c r="E24" s="16"/>
    </row>
    <row r="25" spans="1:7">
      <c r="A25" s="174" t="s">
        <v>78</v>
      </c>
      <c r="B25" s="38">
        <f>aantalw2001_stookolie</f>
        <v>6001</v>
      </c>
      <c r="C25" s="169" t="s">
        <v>111</v>
      </c>
      <c r="D25" s="231"/>
      <c r="E25" s="53"/>
    </row>
    <row r="26" spans="1:7">
      <c r="A26" s="174" t="s">
        <v>79</v>
      </c>
      <c r="B26" s="38">
        <f>aantalw2001_WP</f>
        <v>20</v>
      </c>
      <c r="C26" s="169" t="s">
        <v>111</v>
      </c>
      <c r="D26" s="231"/>
      <c r="E26" s="16"/>
    </row>
    <row r="27" spans="1:7" s="16" customFormat="1">
      <c r="A27" s="174"/>
      <c r="B27" s="30"/>
      <c r="C27" s="37"/>
      <c r="D27" s="231"/>
    </row>
    <row r="28" spans="1:7" s="16" customFormat="1">
      <c r="A28" s="233" t="s">
        <v>665</v>
      </c>
      <c r="B28" s="38">
        <f>aantalHuishoudens2011</f>
        <v>15264</v>
      </c>
      <c r="C28" s="37"/>
      <c r="D28" s="231"/>
    </row>
    <row r="29" spans="1:7" s="16" customFormat="1">
      <c r="A29" s="233" t="s">
        <v>666</v>
      </c>
      <c r="B29" s="38">
        <f>SUM(HH_hh_gas_aantal,HH_rest_gas_aantal)</f>
        <v>8476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8476</v>
      </c>
      <c r="C32" s="170">
        <f>IF(ISERROR(B32/SUM($B$32,$B$34,$B$35,$B$36,$B$38,$B$39)*100),0,B32/SUM($B$32,$B$34,$B$35,$B$36,$B$38,$B$39)*100)</f>
        <v>55.682564708973857</v>
      </c>
      <c r="D32" s="236"/>
      <c r="G32" s="16"/>
    </row>
    <row r="33" spans="1:7">
      <c r="A33" s="174" t="s">
        <v>72</v>
      </c>
      <c r="B33" s="35" t="s">
        <v>111</v>
      </c>
      <c r="C33" s="170"/>
      <c r="D33" s="236"/>
      <c r="G33" s="16"/>
    </row>
    <row r="34" spans="1:7">
      <c r="A34" s="174" t="s">
        <v>73</v>
      </c>
      <c r="B34" s="34">
        <f>IF((($B$28-$B$32-$B$39-$B$77-$B$38)*C20/100)&lt;0,0,($B$28-$B$32-$B$39-$B$77-$B$38)*C20/100)</f>
        <v>339.96645085344318</v>
      </c>
      <c r="C34" s="170">
        <f>IF(ISERROR(B34/SUM($B$32,$B$34,$B$35,$B$36,$B$38,$B$39)*100),0,B34/SUM($B$32,$B$34,$B$35,$B$36,$B$38,$B$39)*100)</f>
        <v>2.2333888506992716</v>
      </c>
      <c r="D34" s="236"/>
      <c r="G34" s="16"/>
    </row>
    <row r="35" spans="1:7">
      <c r="A35" s="174" t="s">
        <v>74</v>
      </c>
      <c r="B35" s="34">
        <f>IF((($B$28-$B$32-$B$39-$B$77-$B$38)*C21/100)&lt;0,0,($B$28-$B$32-$B$39-$B$77-$B$38)*C21/100)</f>
        <v>2951.4284873454972</v>
      </c>
      <c r="C35" s="170">
        <f>IF(ISERROR(B35/SUM($B$32,$B$34,$B$35,$B$36,$B$38,$B$39)*100),0,B35/SUM($B$32,$B$34,$B$35,$B$36,$B$38,$B$39)*100)</f>
        <v>19.389229321675845</v>
      </c>
      <c r="D35" s="236"/>
      <c r="G35" s="16"/>
    </row>
    <row r="36" spans="1:7">
      <c r="A36" s="174" t="s">
        <v>75</v>
      </c>
      <c r="B36" s="34">
        <f>IF((($B$28-$B$32-$B$39-$B$77-$B$38)*C22/100)&lt;0,0,($B$28-$B$32-$B$39-$B$77-$B$38)*C22/100)</f>
        <v>387.60506180105949</v>
      </c>
      <c r="C36" s="170">
        <f>IF(ISERROR(B36/SUM($B$32,$B$34,$B$35,$B$36,$B$38,$B$39)*100),0,B36/SUM($B$32,$B$34,$B$35,$B$36,$B$38,$B$39)*100)</f>
        <v>2.5463477979310176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3067</v>
      </c>
      <c r="C39" s="170">
        <f>IF(ISERROR(B39/SUM($B$32,$B$34,$B$35,$B$36,$B$38,$B$39)*100),0,B39/SUM($B$32,$B$34,$B$35,$B$36,$B$38,$B$39)*100)</f>
        <v>20.148469320720011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8476</v>
      </c>
      <c r="C44" s="35" t="s">
        <v>111</v>
      </c>
      <c r="D44" s="177"/>
    </row>
    <row r="45" spans="1:7">
      <c r="A45" s="174" t="s">
        <v>72</v>
      </c>
      <c r="B45" s="34" t="str">
        <f t="shared" si="0"/>
        <v>-</v>
      </c>
      <c r="C45" s="35" t="s">
        <v>111</v>
      </c>
      <c r="D45" s="177"/>
    </row>
    <row r="46" spans="1:7">
      <c r="A46" s="174" t="s">
        <v>73</v>
      </c>
      <c r="B46" s="34">
        <f t="shared" si="0"/>
        <v>339.96645085344318</v>
      </c>
      <c r="C46" s="35" t="s">
        <v>111</v>
      </c>
      <c r="D46" s="177"/>
    </row>
    <row r="47" spans="1:7">
      <c r="A47" s="174" t="s">
        <v>74</v>
      </c>
      <c r="B47" s="34">
        <f t="shared" si="0"/>
        <v>2951.4284873454972</v>
      </c>
      <c r="C47" s="35" t="s">
        <v>111</v>
      </c>
      <c r="D47" s="177"/>
    </row>
    <row r="48" spans="1:7">
      <c r="A48" s="174" t="s">
        <v>75</v>
      </c>
      <c r="B48" s="34">
        <f t="shared" si="0"/>
        <v>387.60506180105949</v>
      </c>
      <c r="C48" s="34">
        <f>B48*10</f>
        <v>3876.0506180105949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3067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142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72536.173406972448</v>
      </c>
      <c r="C5" s="18">
        <f>IF(ISERROR('Eigen informatie GS &amp; warmtenet'!B58),0,'Eigen informatie GS &amp; warmtenet'!B58)</f>
        <v>0</v>
      </c>
      <c r="D5" s="31">
        <f>SUM(D6:D12)</f>
        <v>113081.42344160572</v>
      </c>
      <c r="E5" s="18">
        <f>SUM(E6:E12)</f>
        <v>664.47305592755652</v>
      </c>
      <c r="F5" s="18">
        <f>SUM(F6:F12)</f>
        <v>14768.032779833979</v>
      </c>
      <c r="G5" s="19"/>
      <c r="H5" s="18"/>
      <c r="I5" s="18"/>
      <c r="J5" s="18">
        <f>SUM(J6:J12)</f>
        <v>0</v>
      </c>
      <c r="K5" s="18"/>
      <c r="L5" s="18"/>
      <c r="M5" s="18"/>
      <c r="N5" s="18">
        <f>SUM(N6:N12)</f>
        <v>2972.4031855847502</v>
      </c>
      <c r="O5" s="18">
        <f>B38*B39*B40</f>
        <v>0</v>
      </c>
      <c r="P5" s="18">
        <f>B46*B47*B48/1000-B46*B47*B48/1000/B49</f>
        <v>0</v>
      </c>
      <c r="R5" s="33"/>
    </row>
    <row r="6" spans="1:18">
      <c r="A6" s="33" t="s">
        <v>54</v>
      </c>
      <c r="B6" s="38">
        <f>B26</f>
        <v>13753.8286434211</v>
      </c>
      <c r="C6" s="34"/>
      <c r="D6" s="38">
        <f>IF(ISERROR(TER_kantoor_gas_kWh/1000),0,TER_kantoor_gas_kWh/1000)*0.902</f>
        <v>68823.306873412308</v>
      </c>
      <c r="E6" s="34">
        <f>$C$26*'E Balans VL '!I12/100/3.6*1000000</f>
        <v>22.57282037275105</v>
      </c>
      <c r="F6" s="34">
        <f>$C$26*('E Balans VL '!L12+'E Balans VL '!N12)/100/3.6*1000000</f>
        <v>1621.2527870448621</v>
      </c>
      <c r="G6" s="35"/>
      <c r="H6" s="34"/>
      <c r="I6" s="34"/>
      <c r="J6" s="34">
        <f>$C$26*('E Balans VL '!D12+'E Balans VL '!E12)/100/3.6*1000000</f>
        <v>0</v>
      </c>
      <c r="K6" s="34"/>
      <c r="L6" s="34"/>
      <c r="M6" s="34"/>
      <c r="N6" s="34">
        <f>$C$26*'E Balans VL '!Y12/100/3.6*1000000</f>
        <v>2.7788959476926065</v>
      </c>
      <c r="O6" s="34"/>
      <c r="P6" s="34"/>
      <c r="R6" s="33"/>
    </row>
    <row r="7" spans="1:18">
      <c r="A7" s="33" t="s">
        <v>53</v>
      </c>
      <c r="B7" s="38">
        <f t="shared" ref="B7:B12" si="0">B27</f>
        <v>6346.4340251962094</v>
      </c>
      <c r="C7" s="34"/>
      <c r="D7" s="38">
        <f>IF(ISERROR(TER_horeca_gas_kWh/1000),0,TER_horeca_gas_kWh/1000)*0.902</f>
        <v>9116.4172453855463</v>
      </c>
      <c r="E7" s="34">
        <f>$C$27*'E Balans VL '!I9/100/3.6*1000000</f>
        <v>329.33400212834471</v>
      </c>
      <c r="F7" s="34">
        <f>$C$27*('E Balans VL '!L9+'E Balans VL '!N9)/100/3.6*1000000</f>
        <v>1448.260849545127</v>
      </c>
      <c r="G7" s="35"/>
      <c r="H7" s="34"/>
      <c r="I7" s="34"/>
      <c r="J7" s="34">
        <f>$C$27*('E Balans VL '!D9+'E Balans VL '!E9)/100/3.6*1000000</f>
        <v>0</v>
      </c>
      <c r="K7" s="34"/>
      <c r="L7" s="34"/>
      <c r="M7" s="34"/>
      <c r="N7" s="34">
        <f>$C$27*'E Balans VL '!Y9/100/3.6*1000000</f>
        <v>0.67018052468044265</v>
      </c>
      <c r="O7" s="34"/>
      <c r="P7" s="34"/>
      <c r="R7" s="33"/>
    </row>
    <row r="8" spans="1:18">
      <c r="A8" s="6" t="s">
        <v>52</v>
      </c>
      <c r="B8" s="38">
        <f t="shared" si="0"/>
        <v>30094.755738849599</v>
      </c>
      <c r="C8" s="34"/>
      <c r="D8" s="38">
        <f>IF(ISERROR(TER_handel_gas_kWh/1000),0,TER_handel_gas_kWh/1000)*0.902</f>
        <v>14083.06338298887</v>
      </c>
      <c r="E8" s="34">
        <f>$C$28*'E Balans VL '!I13/100/3.6*1000000</f>
        <v>162.06395780766098</v>
      </c>
      <c r="F8" s="34">
        <f>$C$28*('E Balans VL '!L13+'E Balans VL '!N13)/100/3.6*1000000</f>
        <v>6137.2150307420798</v>
      </c>
      <c r="G8" s="35"/>
      <c r="H8" s="34"/>
      <c r="I8" s="34"/>
      <c r="J8" s="34">
        <f>$C$28*('E Balans VL '!D13+'E Balans VL '!E13)/100/3.6*1000000</f>
        <v>0</v>
      </c>
      <c r="K8" s="34"/>
      <c r="L8" s="34"/>
      <c r="M8" s="34"/>
      <c r="N8" s="34">
        <f>$C$28*'E Balans VL '!Y13/100/3.6*1000000</f>
        <v>149.64532770412515</v>
      </c>
      <c r="O8" s="34"/>
      <c r="P8" s="34"/>
      <c r="R8" s="33"/>
    </row>
    <row r="9" spans="1:18">
      <c r="A9" s="33" t="s">
        <v>51</v>
      </c>
      <c r="B9" s="38">
        <f t="shared" si="0"/>
        <v>4845.4505158805396</v>
      </c>
      <c r="C9" s="34"/>
      <c r="D9" s="38">
        <f>IF(ISERROR(TER_gezond_gas_kWh/1000),0,TER_gezond_gas_kWh/1000)*0.902</f>
        <v>1349.2380324115452</v>
      </c>
      <c r="E9" s="34">
        <f>$C$29*'E Balans VL '!I10/100/3.6*1000000</f>
        <v>4.8018965634728348</v>
      </c>
      <c r="F9" s="34">
        <f>$C$29*('E Balans VL '!L10+'E Balans VL '!N10)/100/3.6*1000000</f>
        <v>1681.2316642575754</v>
      </c>
      <c r="G9" s="35"/>
      <c r="H9" s="34"/>
      <c r="I9" s="34"/>
      <c r="J9" s="34">
        <f>$C$29*('E Balans VL '!D10+'E Balans VL '!E10)/100/3.6*1000000</f>
        <v>0</v>
      </c>
      <c r="K9" s="34"/>
      <c r="L9" s="34"/>
      <c r="M9" s="34"/>
      <c r="N9" s="34">
        <f>$C$29*'E Balans VL '!Y10/100/3.6*1000000</f>
        <v>41.752827335976875</v>
      </c>
      <c r="O9" s="34"/>
      <c r="P9" s="34"/>
      <c r="R9" s="33"/>
    </row>
    <row r="10" spans="1:18">
      <c r="A10" s="33" t="s">
        <v>50</v>
      </c>
      <c r="B10" s="38">
        <f t="shared" si="0"/>
        <v>3243.6420641077702</v>
      </c>
      <c r="C10" s="34"/>
      <c r="D10" s="38">
        <f>IF(ISERROR(TER_ander_gas_kWh/1000),0,TER_ander_gas_kWh/1000)*0.902</f>
        <v>3321.6288495516392</v>
      </c>
      <c r="E10" s="34">
        <f>$C$30*'E Balans VL '!I14/100/3.6*1000000</f>
        <v>26.536233873771401</v>
      </c>
      <c r="F10" s="34">
        <f>$C$30*('E Balans VL '!L14+'E Balans VL '!N14)/100/3.6*1000000</f>
        <v>948.30888540746196</v>
      </c>
      <c r="G10" s="35"/>
      <c r="H10" s="34"/>
      <c r="I10" s="34"/>
      <c r="J10" s="34">
        <f>$C$30*('E Balans VL '!D14+'E Balans VL '!E14)/100/3.6*1000000</f>
        <v>0</v>
      </c>
      <c r="K10" s="34"/>
      <c r="L10" s="34"/>
      <c r="M10" s="34"/>
      <c r="N10" s="34">
        <f>$C$30*'E Balans VL '!Y14/100/3.6*1000000</f>
        <v>1871.1558691903911</v>
      </c>
      <c r="O10" s="34"/>
      <c r="P10" s="34"/>
      <c r="R10" s="33"/>
    </row>
    <row r="11" spans="1:18">
      <c r="A11" s="33" t="s">
        <v>55</v>
      </c>
      <c r="B11" s="38">
        <f t="shared" si="0"/>
        <v>495.82978163882103</v>
      </c>
      <c r="C11" s="34"/>
      <c r="D11" s="38">
        <f>IF(ISERROR(TER_onderwijs_gas_kWh/1000),0,TER_onderwijs_gas_kWh/1000)*0.902</f>
        <v>921.45308885445354</v>
      </c>
      <c r="E11" s="34">
        <f>$C$31*'E Balans VL '!I11/100/3.6*1000000</f>
        <v>0.30560855626659356</v>
      </c>
      <c r="F11" s="34">
        <f>$C$31*('E Balans VL '!L11+'E Balans VL '!N11)/100/3.6*1000000</f>
        <v>191.69582338091826</v>
      </c>
      <c r="G11" s="35"/>
      <c r="H11" s="34"/>
      <c r="I11" s="34"/>
      <c r="J11" s="34">
        <f>$C$31*('E Balans VL '!D11+'E Balans VL '!E11)/100/3.6*1000000</f>
        <v>0</v>
      </c>
      <c r="K11" s="34"/>
      <c r="L11" s="34"/>
      <c r="M11" s="34"/>
      <c r="N11" s="34">
        <f>$C$31*'E Balans VL '!Y11/100/3.6*1000000</f>
        <v>1.6128280256175569</v>
      </c>
      <c r="O11" s="34"/>
      <c r="P11" s="34"/>
      <c r="R11" s="33"/>
    </row>
    <row r="12" spans="1:18">
      <c r="A12" s="33" t="s">
        <v>260</v>
      </c>
      <c r="B12" s="38">
        <f t="shared" si="0"/>
        <v>13756.2326378784</v>
      </c>
      <c r="C12" s="34"/>
      <c r="D12" s="38">
        <f>IF(ISERROR(TER_rest_gas_kWh/1000),0,TER_rest_gas_kWh/1000)*0.902</f>
        <v>15466.315969001353</v>
      </c>
      <c r="E12" s="34">
        <f>$C$32*'E Balans VL '!I8/100/3.6*1000000</f>
        <v>118.85853662528899</v>
      </c>
      <c r="F12" s="34">
        <f>$C$32*('E Balans VL '!L8+'E Balans VL '!N8)/100/3.6*1000000</f>
        <v>2740.0677394559543</v>
      </c>
      <c r="G12" s="35"/>
      <c r="H12" s="34"/>
      <c r="I12" s="34"/>
      <c r="J12" s="34">
        <f>$C$32*('E Balans VL '!D8+'E Balans VL '!E8)/100/3.6*1000000</f>
        <v>0</v>
      </c>
      <c r="K12" s="34"/>
      <c r="L12" s="34"/>
      <c r="M12" s="34"/>
      <c r="N12" s="34">
        <f>$C$32*'E Balans VL '!Y8/100/3.6*1000000</f>
        <v>904.78725685626671</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72536.173406972448</v>
      </c>
      <c r="C16" s="22">
        <f t="shared" ca="1" si="1"/>
        <v>0</v>
      </c>
      <c r="D16" s="22">
        <f t="shared" ca="1" si="1"/>
        <v>113081.42344160572</v>
      </c>
      <c r="E16" s="22">
        <f t="shared" si="1"/>
        <v>664.47305592755652</v>
      </c>
      <c r="F16" s="22">
        <f t="shared" ca="1" si="1"/>
        <v>14768.032779833979</v>
      </c>
      <c r="G16" s="22">
        <f t="shared" si="1"/>
        <v>0</v>
      </c>
      <c r="H16" s="22">
        <f t="shared" si="1"/>
        <v>0</v>
      </c>
      <c r="I16" s="22">
        <f t="shared" si="1"/>
        <v>0</v>
      </c>
      <c r="J16" s="22">
        <f t="shared" si="1"/>
        <v>0</v>
      </c>
      <c r="K16" s="22">
        <f t="shared" si="1"/>
        <v>0</v>
      </c>
      <c r="L16" s="22">
        <f t="shared" ca="1" si="1"/>
        <v>0</v>
      </c>
      <c r="M16" s="22">
        <f t="shared" si="1"/>
        <v>0</v>
      </c>
      <c r="N16" s="22">
        <f t="shared" ca="1" si="1"/>
        <v>2972.4031855847502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0.20443714133049237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14829.087934374329</v>
      </c>
      <c r="C20" s="24">
        <f t="shared" ref="C20:P20" ca="1" si="2">C16*C18</f>
        <v>0</v>
      </c>
      <c r="D20" s="24">
        <f t="shared" ca="1" si="2"/>
        <v>22842.447535204356</v>
      </c>
      <c r="E20" s="24">
        <f t="shared" si="2"/>
        <v>150.83538369555532</v>
      </c>
      <c r="F20" s="24">
        <f t="shared" ca="1" si="2"/>
        <v>3943.0647522156723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13753.8286434211</v>
      </c>
      <c r="C26" s="40">
        <f>IF(ISERROR(B26*3.6/1000000/'E Balans VL '!Z12*100),0,B26*3.6/1000000/'E Balans VL '!Z12*100)</f>
        <v>0.29225899537520844</v>
      </c>
      <c r="D26" s="240" t="s">
        <v>707</v>
      </c>
      <c r="F26" s="6"/>
    </row>
    <row r="27" spans="1:18">
      <c r="A27" s="234" t="s">
        <v>53</v>
      </c>
      <c r="B27" s="34">
        <f>IF(ISERROR(TER_horeca_ele_kWh/1000),0,TER_horeca_ele_kWh/1000)</f>
        <v>6346.4340251962094</v>
      </c>
      <c r="C27" s="40">
        <f>IF(ISERROR(B27*3.6/1000000/'E Balans VL '!Z9*100),0,B27*3.6/1000000/'E Balans VL '!Z9*100)</f>
        <v>0.49951343454442937</v>
      </c>
      <c r="D27" s="240" t="s">
        <v>707</v>
      </c>
      <c r="F27" s="6"/>
    </row>
    <row r="28" spans="1:18">
      <c r="A28" s="174" t="s">
        <v>52</v>
      </c>
      <c r="B28" s="34">
        <f>IF(ISERROR(TER_handel_ele_kWh/1000),0,TER_handel_ele_kWh/1000)</f>
        <v>30094.755738849599</v>
      </c>
      <c r="C28" s="40">
        <f>IF(ISERROR(B28*3.6/1000000/'E Balans VL '!Z13*100),0,B28*3.6/1000000/'E Balans VL '!Z13*100)</f>
        <v>0.84297021432258534</v>
      </c>
      <c r="D28" s="240" t="s">
        <v>707</v>
      </c>
      <c r="F28" s="6"/>
    </row>
    <row r="29" spans="1:18">
      <c r="A29" s="234" t="s">
        <v>51</v>
      </c>
      <c r="B29" s="34">
        <f>IF(ISERROR(TER_gezond_ele_kWh/1000),0,TER_gezond_ele_kWh/1000)</f>
        <v>4845.4505158805396</v>
      </c>
      <c r="C29" s="40">
        <f>IF(ISERROR(B29*3.6/1000000/'E Balans VL '!Z10*100),0,B29*3.6/1000000/'E Balans VL '!Z10*100)</f>
        <v>0.61987964150369634</v>
      </c>
      <c r="D29" s="240" t="s">
        <v>707</v>
      </c>
      <c r="F29" s="6"/>
    </row>
    <row r="30" spans="1:18">
      <c r="A30" s="234" t="s">
        <v>50</v>
      </c>
      <c r="B30" s="34">
        <f>IF(ISERROR(TER_ander_ele_kWh/1000),0,TER_ander_ele_kWh/1000)</f>
        <v>3243.6420641077702</v>
      </c>
      <c r="C30" s="40">
        <f>IF(ISERROR(B30*3.6/1000000/'E Balans VL '!Z14*100),0,B30*3.6/1000000/'E Balans VL '!Z14*100)</f>
        <v>0.24259709498977941</v>
      </c>
      <c r="D30" s="240" t="s">
        <v>707</v>
      </c>
      <c r="F30" s="6"/>
    </row>
    <row r="31" spans="1:18">
      <c r="A31" s="234" t="s">
        <v>55</v>
      </c>
      <c r="B31" s="34">
        <f>IF(ISERROR(TER_onderwijs_ele_kWh/1000),0,TER_onderwijs_ele_kWh/1000)</f>
        <v>495.82978163882103</v>
      </c>
      <c r="C31" s="40">
        <f>IF(ISERROR(B31*3.6/1000000/'E Balans VL '!Z11*100),0,B31*3.6/1000000/'E Balans VL '!Z11*100)</f>
        <v>0.10469510065677098</v>
      </c>
      <c r="D31" s="240" t="s">
        <v>707</v>
      </c>
    </row>
    <row r="32" spans="1:18">
      <c r="A32" s="234" t="s">
        <v>260</v>
      </c>
      <c r="B32" s="34">
        <f>IF(ISERROR(TER_rest_ele_kWh/1000),0,TER_rest_ele_kWh/1000)</f>
        <v>13756.2326378784</v>
      </c>
      <c r="C32" s="40">
        <f>IF(ISERROR(B32*3.6/1000000/'E Balans VL '!Z8*100),0,B32*3.6/1000000/'E Balans VL '!Z8*100)</f>
        <v>0.11332290994722613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259903.71595215134</v>
      </c>
      <c r="C5" s="18">
        <f>IF(ISERROR('Eigen informatie GS &amp; warmtenet'!B59),0,'Eigen informatie GS &amp; warmtenet'!B59)</f>
        <v>0</v>
      </c>
      <c r="D5" s="31">
        <f>SUM(D6:D15)</f>
        <v>225314.40235916956</v>
      </c>
      <c r="E5" s="18">
        <f>SUM(E6:E15)</f>
        <v>1786.3929338500768</v>
      </c>
      <c r="F5" s="18">
        <f>SUM(F6:F15)</f>
        <v>48022.147631307998</v>
      </c>
      <c r="G5" s="19"/>
      <c r="H5" s="18"/>
      <c r="I5" s="18"/>
      <c r="J5" s="18">
        <f>SUM(J6:J15)</f>
        <v>896.72385348173816</v>
      </c>
      <c r="K5" s="18"/>
      <c r="L5" s="18"/>
      <c r="M5" s="18"/>
      <c r="N5" s="18">
        <f>SUM(N6:N15)</f>
        <v>7270.1010924954671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5938.1485790489396</v>
      </c>
      <c r="C8" s="34"/>
      <c r="D8" s="38">
        <f>IF( ISERROR(IND_metaal_Gas_kWH/1000),0,IND_metaal_Gas_kWH/1000)*0.902</f>
        <v>7233.15307313433</v>
      </c>
      <c r="E8" s="34">
        <f>C30*'E Balans VL '!I18/100/3.6*1000000</f>
        <v>54.077648981662286</v>
      </c>
      <c r="F8" s="34">
        <f>C30*'E Balans VL '!L18/100/3.6*1000000+C30*'E Balans VL '!N18/100/3.6*1000000</f>
        <v>783.19670250171362</v>
      </c>
      <c r="G8" s="35"/>
      <c r="H8" s="34"/>
      <c r="I8" s="34"/>
      <c r="J8" s="41">
        <f>C30*'E Balans VL '!D18/100/3.6*1000000+C30*'E Balans VL '!E18/100/3.6*1000000</f>
        <v>97.37701481513048</v>
      </c>
      <c r="K8" s="34"/>
      <c r="L8" s="34"/>
      <c r="M8" s="34"/>
      <c r="N8" s="34">
        <f>C30*'E Balans VL '!Y18/100/3.6*1000000</f>
        <v>20.407057742719271</v>
      </c>
      <c r="O8" s="34"/>
      <c r="P8" s="34"/>
      <c r="R8" s="33"/>
    </row>
    <row r="9" spans="1:18">
      <c r="A9" s="6" t="s">
        <v>33</v>
      </c>
      <c r="B9" s="38">
        <f t="shared" si="0"/>
        <v>16527.6434156348</v>
      </c>
      <c r="C9" s="34"/>
      <c r="D9" s="38">
        <f>IF( ISERROR(IND_andere_gas_kWh/1000),0,IND_andere_gas_kWh/1000)*0.902</f>
        <v>8479.8011269434828</v>
      </c>
      <c r="E9" s="34">
        <f>C31*'E Balans VL '!I19/100/3.6*1000000</f>
        <v>95.532248794388792</v>
      </c>
      <c r="F9" s="34">
        <f>C31*'E Balans VL '!L19/100/3.6*1000000+C31*'E Balans VL '!N19/100/3.6*1000000</f>
        <v>13148.53561586831</v>
      </c>
      <c r="G9" s="35"/>
      <c r="H9" s="34"/>
      <c r="I9" s="34"/>
      <c r="J9" s="41">
        <f>C31*'E Balans VL '!D19/100/3.6*1000000+C31*'E Balans VL '!E19/100/3.6*1000000</f>
        <v>1.5633314832557834</v>
      </c>
      <c r="K9" s="34"/>
      <c r="L9" s="34"/>
      <c r="M9" s="34"/>
      <c r="N9" s="34">
        <f>C31*'E Balans VL '!Y19/100/3.6*1000000</f>
        <v>1252.2191066402713</v>
      </c>
      <c r="O9" s="34"/>
      <c r="P9" s="34"/>
      <c r="R9" s="33"/>
    </row>
    <row r="10" spans="1:18">
      <c r="A10" s="6" t="s">
        <v>41</v>
      </c>
      <c r="B10" s="38">
        <f t="shared" si="0"/>
        <v>1105.49887701952</v>
      </c>
      <c r="C10" s="34"/>
      <c r="D10" s="38">
        <f>IF( ISERROR(IND_voed_gas_kWh/1000),0,IND_voed_gas_kWh/1000)*0.902</f>
        <v>1070.1343979924907</v>
      </c>
      <c r="E10" s="34">
        <f>C32*'E Balans VL '!I20/100/3.6*1000000</f>
        <v>10.869946113442406</v>
      </c>
      <c r="F10" s="34">
        <f>C32*'E Balans VL '!L20/100/3.6*1000000+C32*'E Balans VL '!N20/100/3.6*1000000</f>
        <v>122.78007997673471</v>
      </c>
      <c r="G10" s="35"/>
      <c r="H10" s="34"/>
      <c r="I10" s="34"/>
      <c r="J10" s="41">
        <f>C32*'E Balans VL '!D20/100/3.6*1000000+C32*'E Balans VL '!E20/100/3.6*1000000</f>
        <v>4.3572729406256439E-3</v>
      </c>
      <c r="K10" s="34"/>
      <c r="L10" s="34"/>
      <c r="M10" s="34"/>
      <c r="N10" s="34">
        <f>C32*'E Balans VL '!Y20/100/3.6*1000000</f>
        <v>16.369837961197302</v>
      </c>
      <c r="O10" s="34"/>
      <c r="P10" s="34"/>
      <c r="R10" s="33"/>
    </row>
    <row r="11" spans="1:18">
      <c r="A11" s="6" t="s">
        <v>40</v>
      </c>
      <c r="B11" s="38">
        <f t="shared" si="0"/>
        <v>77095.635665450798</v>
      </c>
      <c r="C11" s="34"/>
      <c r="D11" s="38">
        <f>IF( ISERROR(IND_textiel_gas_kWh/1000),0,IND_textiel_gas_kWh/1000)*0.902</f>
        <v>19051.734038794239</v>
      </c>
      <c r="E11" s="34">
        <f>C33*'E Balans VL '!I21/100/3.6*1000000</f>
        <v>150.12310477503365</v>
      </c>
      <c r="F11" s="34">
        <f>C33*'E Balans VL '!L21/100/3.6*1000000+C33*'E Balans VL '!N21/100/3.6*1000000</f>
        <v>2542.8670538511851</v>
      </c>
      <c r="G11" s="35"/>
      <c r="H11" s="34"/>
      <c r="I11" s="34"/>
      <c r="J11" s="41">
        <f>C33*'E Balans VL '!D21/100/3.6*1000000+C33*'E Balans VL '!E21/100/3.6*1000000</f>
        <v>0</v>
      </c>
      <c r="K11" s="34"/>
      <c r="L11" s="34"/>
      <c r="M11" s="34"/>
      <c r="N11" s="34">
        <f>C33*'E Balans VL '!Y21/100/3.6*1000000</f>
        <v>799.68451704109839</v>
      </c>
      <c r="O11" s="34"/>
      <c r="P11" s="34"/>
      <c r="R11" s="33"/>
    </row>
    <row r="12" spans="1:18">
      <c r="A12" s="6" t="s">
        <v>37</v>
      </c>
      <c r="B12" s="38">
        <f t="shared" si="0"/>
        <v>1240.5018728294901</v>
      </c>
      <c r="C12" s="34"/>
      <c r="D12" s="38">
        <f>IF( ISERROR(IND_min_gas_kWh/1000),0,IND_min_gas_kWh/1000)*0.902</f>
        <v>43.180201292987093</v>
      </c>
      <c r="E12" s="34">
        <f>C34*'E Balans VL '!I22/100/3.6*1000000</f>
        <v>31.448929943204373</v>
      </c>
      <c r="F12" s="34">
        <f>C34*'E Balans VL '!L22/100/3.6*1000000+C34*'E Balans VL '!N22/100/3.6*1000000</f>
        <v>343.25119209318615</v>
      </c>
      <c r="G12" s="35"/>
      <c r="H12" s="34"/>
      <c r="I12" s="34"/>
      <c r="J12" s="41">
        <f>C34*'E Balans VL '!D22/100/3.6*1000000+C34*'E Balans VL '!E22/100/3.6*1000000</f>
        <v>8.1925236481682777</v>
      </c>
      <c r="K12" s="34"/>
      <c r="L12" s="34"/>
      <c r="M12" s="34"/>
      <c r="N12" s="34">
        <f>C34*'E Balans VL '!Y22/100/3.6*1000000</f>
        <v>0</v>
      </c>
      <c r="O12" s="34"/>
      <c r="P12" s="34"/>
      <c r="R12" s="33"/>
    </row>
    <row r="13" spans="1:18">
      <c r="A13" s="6" t="s">
        <v>39</v>
      </c>
      <c r="B13" s="38">
        <f t="shared" si="0"/>
        <v>982.43266932175902</v>
      </c>
      <c r="C13" s="34"/>
      <c r="D13" s="38">
        <f>IF( ISERROR(IND_papier_gas_kWh/1000),0,IND_papier_gas_kWh/1000)*0.902</f>
        <v>0</v>
      </c>
      <c r="E13" s="34">
        <f>C35*'E Balans VL '!I23/100/3.6*1000000</f>
        <v>33.463081152376326</v>
      </c>
      <c r="F13" s="34">
        <f>C35*'E Balans VL '!L23/100/3.6*1000000+C35*'E Balans VL '!N23/100/3.6*1000000</f>
        <v>162.27481977352494</v>
      </c>
      <c r="G13" s="35"/>
      <c r="H13" s="34"/>
      <c r="I13" s="34"/>
      <c r="J13" s="41">
        <f>C35*'E Balans VL '!D23/100/3.6*1000000+C35*'E Balans VL '!E23/100/3.6*1000000</f>
        <v>0</v>
      </c>
      <c r="K13" s="34"/>
      <c r="L13" s="34"/>
      <c r="M13" s="34"/>
      <c r="N13" s="34">
        <f>C35*'E Balans VL '!Y23/100/3.6*1000000</f>
        <v>361.50887550862154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157013.85487284602</v>
      </c>
      <c r="C15" s="34"/>
      <c r="D15" s="38">
        <f>IF( ISERROR(IND_rest_gas_kWh/1000),0,IND_rest_gas_kWh/1000)*0.902</f>
        <v>189436.39952101203</v>
      </c>
      <c r="E15" s="34">
        <f>C37*'E Balans VL '!I15/100/3.6*1000000</f>
        <v>1410.877974089969</v>
      </c>
      <c r="F15" s="34">
        <f>C37*'E Balans VL '!L15/100/3.6*1000000+C37*'E Balans VL '!N15/100/3.6*1000000</f>
        <v>30919.242167243345</v>
      </c>
      <c r="G15" s="35"/>
      <c r="H15" s="34"/>
      <c r="I15" s="34"/>
      <c r="J15" s="41">
        <f>C37*'E Balans VL '!D15/100/3.6*1000000+C37*'E Balans VL '!E15/100/3.6*1000000</f>
        <v>789.58662626224304</v>
      </c>
      <c r="K15" s="34"/>
      <c r="L15" s="34"/>
      <c r="M15" s="34"/>
      <c r="N15" s="34">
        <f>C37*'E Balans VL '!Y15/100/3.6*1000000</f>
        <v>4819.9116976015594</v>
      </c>
      <c r="O15" s="34"/>
      <c r="P15" s="34"/>
      <c r="R15" s="33"/>
    </row>
    <row r="16" spans="1:18">
      <c r="A16" s="17" t="s">
        <v>502</v>
      </c>
      <c r="B16" s="250">
        <f>'lokale energieproductie'!N89+'lokale energieproductie'!N58</f>
        <v>3226.5</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-9218.5714285714294</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263130.21595215134</v>
      </c>
      <c r="C18" s="22">
        <f>C5+C16</f>
        <v>0</v>
      </c>
      <c r="D18" s="22">
        <f>MAX((D5+D16),0)</f>
        <v>225314.40235916956</v>
      </c>
      <c r="E18" s="22">
        <f>MAX((E5+E16),0)</f>
        <v>1786.3929338500768</v>
      </c>
      <c r="F18" s="22">
        <f>MAX((F5+F16),0)</f>
        <v>48022.147631307998</v>
      </c>
      <c r="G18" s="22"/>
      <c r="H18" s="22"/>
      <c r="I18" s="22"/>
      <c r="J18" s="22">
        <f>MAX((J5+J16),0)</f>
        <v>896.72385348173816</v>
      </c>
      <c r="K18" s="22"/>
      <c r="L18" s="22">
        <f>MAX((L5+L16),0)</f>
        <v>0</v>
      </c>
      <c r="M18" s="22"/>
      <c r="N18" s="22">
        <f>MAX((N5+N16),0)</f>
        <v>0</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0.20443714133049237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53793.589146932944</v>
      </c>
      <c r="C22" s="24">
        <f ca="1">C18*C20</f>
        <v>0</v>
      </c>
      <c r="D22" s="24">
        <f>D18*D20</f>
        <v>45513.509276552257</v>
      </c>
      <c r="E22" s="24">
        <f>E18*E20</f>
        <v>405.51119598396747</v>
      </c>
      <c r="F22" s="24">
        <f>F18*F20</f>
        <v>12821.913417559237</v>
      </c>
      <c r="G22" s="24"/>
      <c r="H22" s="24"/>
      <c r="I22" s="24"/>
      <c r="J22" s="24">
        <f>J18*J20</f>
        <v>317.44024413253527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5938.1485790489396</v>
      </c>
      <c r="C30" s="40">
        <f>IF(ISERROR(B30*3.6/1000000/'E Balans VL '!Z18*100),0,B30*3.6/1000000/'E Balans VL '!Z18*100)</f>
        <v>0.33041826036521021</v>
      </c>
      <c r="D30" s="240" t="s">
        <v>707</v>
      </c>
    </row>
    <row r="31" spans="1:18">
      <c r="A31" s="6" t="s">
        <v>33</v>
      </c>
      <c r="B31" s="38">
        <f>IF( ISERROR(IND_ander_ele_kWh/1000),0,IND_ander_ele_kWh/1000)</f>
        <v>16527.6434156348</v>
      </c>
      <c r="C31" s="40">
        <f>IF(ISERROR(B31*3.6/1000000/'E Balans VL '!Z19*100),0,B31*3.6/1000000/'E Balans VL '!Z19*100)</f>
        <v>0.76832673579806432</v>
      </c>
      <c r="D31" s="240" t="s">
        <v>707</v>
      </c>
    </row>
    <row r="32" spans="1:18">
      <c r="A32" s="174" t="s">
        <v>41</v>
      </c>
      <c r="B32" s="38">
        <f>IF( ISERROR(IND_voed_ele_kWh/1000),0,IND_voed_ele_kWh/1000)</f>
        <v>1105.49887701952</v>
      </c>
      <c r="C32" s="40">
        <f>IF(ISERROR(B32*3.6/1000000/'E Balans VL '!Z20*100),0,B32*3.6/1000000/'E Balans VL '!Z20*100)</f>
        <v>3.9077152653104207E-2</v>
      </c>
      <c r="D32" s="240" t="s">
        <v>707</v>
      </c>
    </row>
    <row r="33" spans="1:5">
      <c r="A33" s="174" t="s">
        <v>40</v>
      </c>
      <c r="B33" s="38">
        <f>IF( ISERROR(IND_textiel_ele_kWh/1000),0,IND_textiel_ele_kWh/1000)</f>
        <v>77095.635665450798</v>
      </c>
      <c r="C33" s="40">
        <f>IF(ISERROR(B33*3.6/1000000/'E Balans VL '!Z21*100),0,B33*3.6/1000000/'E Balans VL '!Z21*100)</f>
        <v>10.412935440908431</v>
      </c>
      <c r="D33" s="240" t="s">
        <v>707</v>
      </c>
    </row>
    <row r="34" spans="1:5">
      <c r="A34" s="174" t="s">
        <v>37</v>
      </c>
      <c r="B34" s="38">
        <f>IF( ISERROR(IND_min_ele_kWh/1000),0,IND_min_ele_kWh/1000)</f>
        <v>1240.5018728294901</v>
      </c>
      <c r="C34" s="40">
        <f>IF(ISERROR(B34*3.6/1000000/'E Balans VL '!Z22*100),0,B34*3.6/1000000/'E Balans VL '!Z22*100)</f>
        <v>0.24930589546771437</v>
      </c>
      <c r="D34" s="240" t="s">
        <v>707</v>
      </c>
    </row>
    <row r="35" spans="1:5">
      <c r="A35" s="174" t="s">
        <v>39</v>
      </c>
      <c r="B35" s="38">
        <f>IF( ISERROR(IND_papier_ele_kWh/1000),0,IND_papier_ele_kWh/1000)</f>
        <v>982.43266932175902</v>
      </c>
      <c r="C35" s="40">
        <f>IF(ISERROR(B35*3.6/1000000/'E Balans VL '!Z22*100),0,B35*3.6/1000000/'E Balans VL '!Z22*100)</f>
        <v>0.19744126286834213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157013.85487284602</v>
      </c>
      <c r="C37" s="40">
        <f>IF(ISERROR(B37*3.6/1000000/'E Balans VL '!Z15*100),0,B37*3.6/1000000/'E Balans VL '!Z15*100)</f>
        <v>1.1856865488271202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1610.6552149003112</v>
      </c>
      <c r="C5" s="18">
        <f>'Eigen informatie GS &amp; warmtenet'!B60</f>
        <v>0</v>
      </c>
      <c r="D5" s="31">
        <f>IF(ISERROR(SUM(LB_lb_gas_kWh,LB_rest_gas_kWh,onbekend_gas_kWh)/1000),0,SUM(LB_lb_gas_kWh,LB_rest_gas_kWh,onbekend_gas_kWh)/1000)*0.902</f>
        <v>6815.9124675787471</v>
      </c>
      <c r="E5" s="18">
        <f>B17*'E Balans VL '!I25/3.6*1000000/100</f>
        <v>15.173451298755174</v>
      </c>
      <c r="F5" s="18">
        <f>B17*('E Balans VL '!L25/3.6*1000000+'E Balans VL '!N25/3.6*1000000)/100</f>
        <v>5256.1024957414147</v>
      </c>
      <c r="G5" s="19"/>
      <c r="H5" s="18"/>
      <c r="I5" s="18"/>
      <c r="J5" s="18">
        <f>('E Balans VL '!D25+'E Balans VL '!E25)/3.6*1000000*landbouw!B17/100</f>
        <v>199.24588430862889</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1610.6552149003112</v>
      </c>
      <c r="C8" s="22">
        <f>C5+C6</f>
        <v>0</v>
      </c>
      <c r="D8" s="22">
        <f>MAX((D5+D6),0)</f>
        <v>6815.9124675787471</v>
      </c>
      <c r="E8" s="22">
        <f>MAX((E5+E6),0)</f>
        <v>15.173451298755174</v>
      </c>
      <c r="F8" s="22">
        <f>MAX((F5+F6),0)</f>
        <v>5256.1024957414147</v>
      </c>
      <c r="G8" s="22"/>
      <c r="H8" s="22"/>
      <c r="I8" s="22"/>
      <c r="J8" s="22">
        <f>MAX((J5+J6),0)</f>
        <v>199.24588430862889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0.20443714133049237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329.27774780326951</v>
      </c>
      <c r="C12" s="24">
        <f ca="1">C8*C10</f>
        <v>0</v>
      </c>
      <c r="D12" s="24">
        <f>D8*D10</f>
        <v>1376.814318450907</v>
      </c>
      <c r="E12" s="24">
        <f>E8*E10</f>
        <v>3.4443734448174244</v>
      </c>
      <c r="F12" s="24">
        <f>F8*F10</f>
        <v>1403.3793663629579</v>
      </c>
      <c r="G12" s="24"/>
      <c r="H12" s="24"/>
      <c r="I12" s="24"/>
      <c r="J12" s="24">
        <f>J8*J10</f>
        <v>70.53304304525463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0.21805697864991622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227.04747432565725</v>
      </c>
      <c r="C26" s="250">
        <f>B26*'GWP N2O_CH4'!B5</f>
        <v>4767.9969608388019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68.167068407526415</v>
      </c>
      <c r="C27" s="250">
        <f>B27*'GWP N2O_CH4'!B5</f>
        <v>1431.5084365580547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3.0533663723337559</v>
      </c>
      <c r="C28" s="250">
        <f>B28*'GWP N2O_CH4'!B4</f>
        <v>946.54357542346429</v>
      </c>
      <c r="D28" s="51"/>
    </row>
    <row r="29" spans="1:4">
      <c r="A29" s="42" t="s">
        <v>277</v>
      </c>
      <c r="B29" s="250">
        <f>B34*'ha_N2O bodem landbouw'!B4</f>
        <v>8.8521605908954495</v>
      </c>
      <c r="C29" s="250">
        <f>B29*'GWP N2O_CH4'!B4</f>
        <v>2744.1697831775891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2.389804691164274E-3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2.1773709625105696E-5</v>
      </c>
      <c r="C5" s="447" t="s">
        <v>211</v>
      </c>
      <c r="D5" s="432">
        <f>SUM(D6:D11)</f>
        <v>5.9092342459317397E-5</v>
      </c>
      <c r="E5" s="432">
        <f>SUM(E6:E11)</f>
        <v>3.9305644702096552E-3</v>
      </c>
      <c r="F5" s="445" t="s">
        <v>211</v>
      </c>
      <c r="G5" s="432">
        <f>SUM(G6:G11)</f>
        <v>1.0440443869094562</v>
      </c>
      <c r="H5" s="432">
        <f>SUM(H6:H11)</f>
        <v>0.13597230265561114</v>
      </c>
      <c r="I5" s="447" t="s">
        <v>211</v>
      </c>
      <c r="J5" s="447" t="s">
        <v>211</v>
      </c>
      <c r="K5" s="447" t="s">
        <v>211</v>
      </c>
      <c r="L5" s="447" t="s">
        <v>211</v>
      </c>
      <c r="M5" s="432">
        <f>SUM(M6:M11)</f>
        <v>5.2711701163575986E-2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6.4966975428955338E-6</v>
      </c>
      <c r="C6" s="433"/>
      <c r="D6" s="433">
        <f>vkm_2011_GW_PW*SUMIFS(TableVerdeelsleutelVkm[CNG],TableVerdeelsleutelVkm[Voertuigtype],"Lichte voertuigen")*SUMIFS(TableECFTransport[EnergieConsumptieFactor (PJ per km)],TableECFTransport[Index],CONCATENATE($A6,"_CNG_CNG"))</f>
        <v>1.5865044200636201E-5</v>
      </c>
      <c r="E6" s="435">
        <f>vkm_2011_GW_PW*SUMIFS(TableVerdeelsleutelVkm[LPG],TableVerdeelsleutelVkm[Voertuigtype],"Lichte voertuigen")*SUMIFS(TableECFTransport[EnergieConsumptieFactor (PJ per km)],TableECFTransport[Index],CONCATENATE($A6,"_LPG_LPG"))</f>
        <v>9.4039783187017543E-4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0.13594556894452395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3.562742797651193E-2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7.683354773177593E-3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8.7095545638887342E-2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3.5139657095378309E-5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3.8800796110392941E-3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2.4903910509922401E-6</v>
      </c>
      <c r="C8" s="433"/>
      <c r="D8" s="435">
        <f>vkm_2011_NGW_PW*SUMIFS(TableVerdeelsleutelVkm[CNG],TableVerdeelsleutelVkm[Voertuigtype],"Lichte voertuigen")*SUMIFS(TableECFTransport[EnergieConsumptieFactor (PJ per km)],TableECFTransport[Index],CONCATENATE($A8,"_CNG_CNG"))</f>
        <v>1.0911381782671264E-5</v>
      </c>
      <c r="E8" s="435">
        <f>vkm_2011_NGW_PW*SUMIFS(TableVerdeelsleutelVkm[LPG],TableVerdeelsleutelVkm[Voertuigtype],"Lichte voertuigen")*SUMIFS(TableECFTransport[EnergieConsumptieFactor (PJ per km)],TableECFTransport[Index],CONCATENATE($A8,"_LPG_LPG"))</f>
        <v>5.9334691350760324E-4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8.1030613174724361E-2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2.3464201841937194E-2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4.6816011593703161E-3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2.4919014068701735E-2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8.7538435131645164E-6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1.1100749070309282E-3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1.2786621031217922E-5</v>
      </c>
      <c r="C10" s="433"/>
      <c r="D10" s="435">
        <f>vkm_2011_SW_PW*SUMIFS(TableVerdeelsleutelVkm[CNG],TableVerdeelsleutelVkm[Voertuigtype],"Lichte voertuigen")*SUMIFS(TableECFTransport[EnergieConsumptieFactor (PJ per km)],TableECFTransport[Index],CONCATENATE($A10,"_CNG_CNG"))</f>
        <v>3.2315916476009935E-5</v>
      </c>
      <c r="E10" s="435">
        <f>vkm_2011_SW_PW*SUMIFS(TableVerdeelsleutelVkm[LPG],TableVerdeelsleutelVkm[Voertuigtype],"Lichte voertuigen")*SUMIFS(TableECFTransport[EnergieConsumptieFactor (PJ per km)],TableECFTransport[Index],CONCATENATE($A10,"_LPG_LPG"))</f>
        <v>2.3968197248318769E-3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0.31576759325383258</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7.666586438520355E-2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1.7568071558409615E-2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0.39928605182878613</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1.7091495134992791E-4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1.7788519154548241E-2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6.0482526736404711</v>
      </c>
      <c r="C14" s="22"/>
      <c r="D14" s="22">
        <f t="shared" ref="D14:M14" si="0">((D5)*10^9/3600)+D12</f>
        <v>16.414539572032609</v>
      </c>
      <c r="E14" s="22">
        <f t="shared" si="0"/>
        <v>1091.8234639471266</v>
      </c>
      <c r="F14" s="22"/>
      <c r="G14" s="22">
        <f t="shared" si="0"/>
        <v>290012.32969707117</v>
      </c>
      <c r="H14" s="22">
        <f t="shared" si="0"/>
        <v>37770.08407100309</v>
      </c>
      <c r="I14" s="22"/>
      <c r="J14" s="22"/>
      <c r="K14" s="22"/>
      <c r="L14" s="22"/>
      <c r="M14" s="22">
        <f t="shared" si="0"/>
        <v>14642.139212104441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0.20443714133049237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1.2364874866435653</v>
      </c>
      <c r="C18" s="24"/>
      <c r="D18" s="24">
        <f t="shared" ref="D18:M18" si="1">D14*D16</f>
        <v>3.3157369935505874</v>
      </c>
      <c r="E18" s="24">
        <f t="shared" si="1"/>
        <v>247.84392631599775</v>
      </c>
      <c r="F18" s="24"/>
      <c r="G18" s="24">
        <f t="shared" si="1"/>
        <v>77433.292029118005</v>
      </c>
      <c r="H18" s="24">
        <f t="shared" si="1"/>
        <v>9404.7509336797684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7.5705785158130126E-3</v>
      </c>
      <c r="H50" s="323">
        <f t="shared" si="2"/>
        <v>0</v>
      </c>
      <c r="I50" s="323">
        <f t="shared" si="2"/>
        <v>0</v>
      </c>
      <c r="J50" s="323">
        <f t="shared" si="2"/>
        <v>0</v>
      </c>
      <c r="K50" s="323">
        <f t="shared" si="2"/>
        <v>0</v>
      </c>
      <c r="L50" s="323">
        <f t="shared" si="2"/>
        <v>0</v>
      </c>
      <c r="M50" s="323">
        <f t="shared" si="2"/>
        <v>3.3243659107977744E-4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7.5705785158130126E-3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3.3243659107977744E-4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2102.9384766147259</v>
      </c>
      <c r="H54" s="22">
        <f t="shared" si="3"/>
        <v>0</v>
      </c>
      <c r="I54" s="22">
        <f t="shared" si="3"/>
        <v>0</v>
      </c>
      <c r="J54" s="22">
        <f t="shared" si="3"/>
        <v>0</v>
      </c>
      <c r="K54" s="22">
        <f t="shared" si="3"/>
        <v>0</v>
      </c>
      <c r="L54" s="22">
        <f t="shared" si="3"/>
        <v>0</v>
      </c>
      <c r="M54" s="22">
        <f t="shared" si="3"/>
        <v>92.343497522160405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0.20443714133049237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561.48457325613185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3"/>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27453.809716080214</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3226.5</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9218.5714285714294</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30680.309716080214</v>
      </c>
      <c r="C9" s="579">
        <f t="shared" ref="C9:L9" si="0">SUM(C7:C8)</f>
        <v>0</v>
      </c>
      <c r="D9" s="579">
        <f t="shared" si="0"/>
        <v>0</v>
      </c>
      <c r="E9" s="579">
        <f t="shared" si="0"/>
        <v>0</v>
      </c>
      <c r="F9" s="579">
        <f t="shared" si="0"/>
        <v>0</v>
      </c>
      <c r="G9" s="579">
        <f t="shared" si="0"/>
        <v>0</v>
      </c>
      <c r="H9" s="579">
        <f t="shared" si="0"/>
        <v>0</v>
      </c>
      <c r="I9" s="579">
        <f t="shared" si="0"/>
        <v>0</v>
      </c>
      <c r="J9" s="579">
        <f t="shared" si="0"/>
        <v>9218.5714285714294</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25.5">
      <c r="A63" s="611"/>
      <c r="B63" s="840">
        <v>34040</v>
      </c>
      <c r="C63" s="840">
        <v>8793</v>
      </c>
      <c r="D63" s="659" t="s">
        <v>877</v>
      </c>
      <c r="E63" s="659" t="s">
        <v>878</v>
      </c>
      <c r="F63" s="659" t="s">
        <v>879</v>
      </c>
      <c r="G63" s="659" t="s">
        <v>880</v>
      </c>
      <c r="H63" s="659" t="s">
        <v>881</v>
      </c>
      <c r="I63" s="659" t="s">
        <v>882</v>
      </c>
      <c r="J63" s="839">
        <v>38308</v>
      </c>
      <c r="K63" s="839">
        <v>38412</v>
      </c>
      <c r="L63" s="659" t="s">
        <v>883</v>
      </c>
      <c r="M63" s="659">
        <v>717</v>
      </c>
      <c r="N63" s="659">
        <v>3226.5</v>
      </c>
      <c r="O63" s="659">
        <v>0</v>
      </c>
      <c r="P63" s="659">
        <v>0</v>
      </c>
      <c r="Q63" s="659">
        <v>9218.5714285714294</v>
      </c>
      <c r="R63" s="659">
        <v>0</v>
      </c>
      <c r="S63" s="659">
        <v>0</v>
      </c>
      <c r="T63" s="659">
        <v>0</v>
      </c>
      <c r="U63" s="659">
        <v>0</v>
      </c>
      <c r="V63" s="659">
        <v>0</v>
      </c>
      <c r="W63" s="659"/>
      <c r="X63" s="659">
        <v>500</v>
      </c>
      <c r="Y63" s="659" t="s">
        <v>41</v>
      </c>
      <c r="Z63" s="660" t="s">
        <v>391</v>
      </c>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717</v>
      </c>
      <c r="N88" s="614">
        <f t="shared" ref="N88:W88" si="5">SUM(N63:N87)</f>
        <v>3226.5</v>
      </c>
      <c r="O88" s="614">
        <f t="shared" si="5"/>
        <v>0</v>
      </c>
      <c r="P88" s="614">
        <f t="shared" si="5"/>
        <v>0</v>
      </c>
      <c r="Q88" s="614">
        <f t="shared" si="5"/>
        <v>9218.5714285714294</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717</v>
      </c>
      <c r="N89" s="614">
        <f t="shared" ref="N89:W89" si="6">SUMIF($Z$63:$Z$87,"industrie",N63:N87)</f>
        <v>3226.5</v>
      </c>
      <c r="O89" s="614">
        <f t="shared" si="6"/>
        <v>0</v>
      </c>
      <c r="P89" s="614">
        <f t="shared" si="6"/>
        <v>0</v>
      </c>
      <c r="Q89" s="614">
        <f t="shared" si="6"/>
        <v>9218.5714285714294</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75425.332406972448</v>
      </c>
      <c r="D10" s="703">
        <f ca="1">tertiair!C16</f>
        <v>0</v>
      </c>
      <c r="E10" s="703">
        <f ca="1">tertiair!D16</f>
        <v>113081.42344160572</v>
      </c>
      <c r="F10" s="703">
        <f>tertiair!E16</f>
        <v>664.47305592755652</v>
      </c>
      <c r="G10" s="703">
        <f ca="1">tertiair!F16</f>
        <v>14768.032779833979</v>
      </c>
      <c r="H10" s="703">
        <f>tertiair!G16</f>
        <v>0</v>
      </c>
      <c r="I10" s="703">
        <f>tertiair!H16</f>
        <v>0</v>
      </c>
      <c r="J10" s="703">
        <f>tertiair!I16</f>
        <v>0</v>
      </c>
      <c r="K10" s="703">
        <f>tertiair!J16</f>
        <v>0</v>
      </c>
      <c r="L10" s="703">
        <f>tertiair!K16</f>
        <v>0</v>
      </c>
      <c r="M10" s="703">
        <f ca="1">tertiair!L16</f>
        <v>0</v>
      </c>
      <c r="N10" s="703">
        <f>tertiair!M16</f>
        <v>0</v>
      </c>
      <c r="O10" s="703">
        <f ca="1">tertiair!N16</f>
        <v>2972.4031855847502</v>
      </c>
      <c r="P10" s="703">
        <f>tertiair!O16</f>
        <v>0</v>
      </c>
      <c r="Q10" s="704">
        <f>tertiair!P16</f>
        <v>0</v>
      </c>
      <c r="R10" s="706">
        <f ca="1">SUM(C10:Q10)</f>
        <v>206911.66486992445</v>
      </c>
      <c r="S10" s="68"/>
    </row>
    <row r="11" spans="1:19" s="458" customFormat="1">
      <c r="A11" s="859" t="s">
        <v>225</v>
      </c>
      <c r="B11" s="864"/>
      <c r="C11" s="703">
        <f>huishoudens!B8</f>
        <v>69198.411930544418</v>
      </c>
      <c r="D11" s="703">
        <f>huishoudens!C8</f>
        <v>0</v>
      </c>
      <c r="E11" s="703">
        <f>huishoudens!D8</f>
        <v>128055.03279119093</v>
      </c>
      <c r="F11" s="703">
        <f>huishoudens!E8</f>
        <v>7491.6468986399086</v>
      </c>
      <c r="G11" s="703">
        <f>huishoudens!F8</f>
        <v>60542.225116316935</v>
      </c>
      <c r="H11" s="703">
        <f>huishoudens!G8</f>
        <v>0</v>
      </c>
      <c r="I11" s="703">
        <f>huishoudens!H8</f>
        <v>0</v>
      </c>
      <c r="J11" s="703">
        <f>huishoudens!I8</f>
        <v>0</v>
      </c>
      <c r="K11" s="703">
        <f>huishoudens!J8</f>
        <v>0</v>
      </c>
      <c r="L11" s="703">
        <f>huishoudens!K8</f>
        <v>0</v>
      </c>
      <c r="M11" s="703">
        <f>huishoudens!L8</f>
        <v>0</v>
      </c>
      <c r="N11" s="703">
        <f>huishoudens!M8</f>
        <v>0</v>
      </c>
      <c r="O11" s="703">
        <f>huishoudens!N8</f>
        <v>27738.6622651711</v>
      </c>
      <c r="P11" s="703">
        <f>huishoudens!O8</f>
        <v>221.99333333333334</v>
      </c>
      <c r="Q11" s="704">
        <f>huishoudens!P8</f>
        <v>800.8</v>
      </c>
      <c r="R11" s="706">
        <f>SUM(C11:Q11)</f>
        <v>294048.77233519667</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263130.21595215134</v>
      </c>
      <c r="D13" s="703">
        <f>industrie!C18</f>
        <v>0</v>
      </c>
      <c r="E13" s="703">
        <f>industrie!D18</f>
        <v>225314.40235916956</v>
      </c>
      <c r="F13" s="703">
        <f>industrie!E18</f>
        <v>1786.3929338500768</v>
      </c>
      <c r="G13" s="703">
        <f>industrie!F18</f>
        <v>48022.147631307998</v>
      </c>
      <c r="H13" s="703">
        <f>industrie!G18</f>
        <v>0</v>
      </c>
      <c r="I13" s="703">
        <f>industrie!H18</f>
        <v>0</v>
      </c>
      <c r="J13" s="703">
        <f>industrie!I18</f>
        <v>0</v>
      </c>
      <c r="K13" s="703">
        <f>industrie!J18</f>
        <v>896.72385348173816</v>
      </c>
      <c r="L13" s="703">
        <f>industrie!K18</f>
        <v>0</v>
      </c>
      <c r="M13" s="703">
        <f>industrie!L18</f>
        <v>0</v>
      </c>
      <c r="N13" s="703">
        <f>industrie!M18</f>
        <v>0</v>
      </c>
      <c r="O13" s="703">
        <f>industrie!N18</f>
        <v>0</v>
      </c>
      <c r="P13" s="703">
        <f>industrie!O18</f>
        <v>0</v>
      </c>
      <c r="Q13" s="704">
        <f>industrie!P18</f>
        <v>0</v>
      </c>
      <c r="R13" s="706">
        <f>SUM(C13:Q13)</f>
        <v>539149.88272996061</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407753.96028966818</v>
      </c>
      <c r="D15" s="708">
        <f t="shared" ref="D15:Q15" ca="1" si="0">SUM(D9:D14)</f>
        <v>0</v>
      </c>
      <c r="E15" s="708">
        <f t="shared" ca="1" si="0"/>
        <v>466450.85859196621</v>
      </c>
      <c r="F15" s="708">
        <f t="shared" si="0"/>
        <v>9942.5128884175429</v>
      </c>
      <c r="G15" s="708">
        <f t="shared" ca="1" si="0"/>
        <v>123332.4055274589</v>
      </c>
      <c r="H15" s="708">
        <f t="shared" si="0"/>
        <v>0</v>
      </c>
      <c r="I15" s="708">
        <f t="shared" si="0"/>
        <v>0</v>
      </c>
      <c r="J15" s="708">
        <f t="shared" si="0"/>
        <v>0</v>
      </c>
      <c r="K15" s="708">
        <f t="shared" si="0"/>
        <v>896.72385348173816</v>
      </c>
      <c r="L15" s="708">
        <f t="shared" si="0"/>
        <v>0</v>
      </c>
      <c r="M15" s="708">
        <f t="shared" ca="1" si="0"/>
        <v>0</v>
      </c>
      <c r="N15" s="708">
        <f t="shared" si="0"/>
        <v>0</v>
      </c>
      <c r="O15" s="708">
        <f t="shared" ca="1" si="0"/>
        <v>30711.06545075585</v>
      </c>
      <c r="P15" s="708">
        <f t="shared" si="0"/>
        <v>221.99333333333334</v>
      </c>
      <c r="Q15" s="709">
        <f t="shared" si="0"/>
        <v>800.8</v>
      </c>
      <c r="R15" s="710">
        <f ca="1">SUM(R9:R14)</f>
        <v>1040110.3199350818</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2102.9384766147259</v>
      </c>
      <c r="I18" s="703">
        <f>transport!H54</f>
        <v>0</v>
      </c>
      <c r="J18" s="703">
        <f>transport!I54</f>
        <v>0</v>
      </c>
      <c r="K18" s="703">
        <f>transport!J54</f>
        <v>0</v>
      </c>
      <c r="L18" s="703">
        <f>transport!K54</f>
        <v>0</v>
      </c>
      <c r="M18" s="703">
        <f>transport!L54</f>
        <v>0</v>
      </c>
      <c r="N18" s="703">
        <f>transport!M54</f>
        <v>92.343497522160405</v>
      </c>
      <c r="O18" s="703">
        <f>transport!N54</f>
        <v>0</v>
      </c>
      <c r="P18" s="703">
        <f>transport!O54</f>
        <v>0</v>
      </c>
      <c r="Q18" s="704">
        <f>transport!P54</f>
        <v>0</v>
      </c>
      <c r="R18" s="706">
        <f>SUM(C18:Q18)</f>
        <v>2195.2819741368862</v>
      </c>
      <c r="S18" s="68"/>
    </row>
    <row r="19" spans="1:19" s="458" customFormat="1" ht="15" thickBot="1">
      <c r="A19" s="859" t="s">
        <v>307</v>
      </c>
      <c r="B19" s="864"/>
      <c r="C19" s="712">
        <f>transport!B14</f>
        <v>6.0482526736404711</v>
      </c>
      <c r="D19" s="712">
        <f>transport!C14</f>
        <v>0</v>
      </c>
      <c r="E19" s="712">
        <f>transport!D14</f>
        <v>16.414539572032609</v>
      </c>
      <c r="F19" s="712">
        <f>transport!E14</f>
        <v>1091.8234639471266</v>
      </c>
      <c r="G19" s="712">
        <f>transport!F14</f>
        <v>0</v>
      </c>
      <c r="H19" s="712">
        <f>transport!G14</f>
        <v>290012.32969707117</v>
      </c>
      <c r="I19" s="712">
        <f>transport!H14</f>
        <v>37770.08407100309</v>
      </c>
      <c r="J19" s="712">
        <f>transport!I14</f>
        <v>0</v>
      </c>
      <c r="K19" s="712">
        <f>transport!J14</f>
        <v>0</v>
      </c>
      <c r="L19" s="712">
        <f>transport!K14</f>
        <v>0</v>
      </c>
      <c r="M19" s="712">
        <f>transport!L14</f>
        <v>0</v>
      </c>
      <c r="N19" s="712">
        <f>transport!M14</f>
        <v>14642.139212104441</v>
      </c>
      <c r="O19" s="712">
        <f>transport!N14</f>
        <v>0</v>
      </c>
      <c r="P19" s="712">
        <f>transport!O14</f>
        <v>0</v>
      </c>
      <c r="Q19" s="713">
        <f>transport!P14</f>
        <v>0</v>
      </c>
      <c r="R19" s="714">
        <f>SUM(C19:Q19)</f>
        <v>343538.83923637145</v>
      </c>
      <c r="S19" s="68"/>
    </row>
    <row r="20" spans="1:19" s="458" customFormat="1" ht="15.75" thickBot="1">
      <c r="A20" s="715" t="s">
        <v>230</v>
      </c>
      <c r="B20" s="867"/>
      <c r="C20" s="862">
        <f>SUM(C17:C19)</f>
        <v>6.0482526736404711</v>
      </c>
      <c r="D20" s="716">
        <f t="shared" ref="D20:R20" si="1">SUM(D17:D19)</f>
        <v>0</v>
      </c>
      <c r="E20" s="716">
        <f t="shared" si="1"/>
        <v>16.414539572032609</v>
      </c>
      <c r="F20" s="716">
        <f t="shared" si="1"/>
        <v>1091.8234639471266</v>
      </c>
      <c r="G20" s="716">
        <f t="shared" si="1"/>
        <v>0</v>
      </c>
      <c r="H20" s="716">
        <f t="shared" si="1"/>
        <v>292115.26817368588</v>
      </c>
      <c r="I20" s="716">
        <f t="shared" si="1"/>
        <v>37770.08407100309</v>
      </c>
      <c r="J20" s="716">
        <f t="shared" si="1"/>
        <v>0</v>
      </c>
      <c r="K20" s="716">
        <f t="shared" si="1"/>
        <v>0</v>
      </c>
      <c r="L20" s="716">
        <f t="shared" si="1"/>
        <v>0</v>
      </c>
      <c r="M20" s="716">
        <f t="shared" si="1"/>
        <v>0</v>
      </c>
      <c r="N20" s="716">
        <f t="shared" si="1"/>
        <v>14734.482709626602</v>
      </c>
      <c r="O20" s="716">
        <f t="shared" si="1"/>
        <v>0</v>
      </c>
      <c r="P20" s="716">
        <f t="shared" si="1"/>
        <v>0</v>
      </c>
      <c r="Q20" s="717">
        <f t="shared" si="1"/>
        <v>0</v>
      </c>
      <c r="R20" s="718">
        <f t="shared" si="1"/>
        <v>345734.12121050834</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1610.6552149003112</v>
      </c>
      <c r="D22" s="712">
        <f>+landbouw!C8</f>
        <v>0</v>
      </c>
      <c r="E22" s="712">
        <f>+landbouw!D8</f>
        <v>6815.9124675787471</v>
      </c>
      <c r="F22" s="712">
        <f>+landbouw!E8</f>
        <v>15.173451298755174</v>
      </c>
      <c r="G22" s="712">
        <f>+landbouw!F8</f>
        <v>5256.1024957414147</v>
      </c>
      <c r="H22" s="712">
        <f>+landbouw!G8</f>
        <v>0</v>
      </c>
      <c r="I22" s="712">
        <f>+landbouw!H8</f>
        <v>0</v>
      </c>
      <c r="J22" s="712">
        <f>+landbouw!I8</f>
        <v>0</v>
      </c>
      <c r="K22" s="712">
        <f>+landbouw!J8</f>
        <v>199.24588430862889</v>
      </c>
      <c r="L22" s="712">
        <f>+landbouw!K8</f>
        <v>0</v>
      </c>
      <c r="M22" s="712">
        <f>+landbouw!L8</f>
        <v>0</v>
      </c>
      <c r="N22" s="712">
        <f>+landbouw!M8</f>
        <v>0</v>
      </c>
      <c r="O22" s="712">
        <f>+landbouw!N8</f>
        <v>0</v>
      </c>
      <c r="P22" s="712">
        <f>+landbouw!O8</f>
        <v>0</v>
      </c>
      <c r="Q22" s="713">
        <f>+landbouw!P8</f>
        <v>0</v>
      </c>
      <c r="R22" s="714">
        <f>SUM(C22:Q22)</f>
        <v>13897.089513827859</v>
      </c>
      <c r="S22" s="68"/>
    </row>
    <row r="23" spans="1:19" s="458" customFormat="1" ht="17.25" thickTop="1" thickBot="1">
      <c r="A23" s="719" t="s">
        <v>116</v>
      </c>
      <c r="B23" s="853"/>
      <c r="C23" s="720">
        <f ca="1">C20+C15+C22</f>
        <v>409370.66375724215</v>
      </c>
      <c r="D23" s="720">
        <f t="shared" ref="D23:Q23" ca="1" si="2">D20+D15+D22</f>
        <v>0</v>
      </c>
      <c r="E23" s="720">
        <f t="shared" ca="1" si="2"/>
        <v>473283.18559911702</v>
      </c>
      <c r="F23" s="720">
        <f t="shared" si="2"/>
        <v>11049.509803663424</v>
      </c>
      <c r="G23" s="720">
        <f t="shared" ca="1" si="2"/>
        <v>128588.50802320032</v>
      </c>
      <c r="H23" s="720">
        <f t="shared" si="2"/>
        <v>292115.26817368588</v>
      </c>
      <c r="I23" s="720">
        <f t="shared" si="2"/>
        <v>37770.08407100309</v>
      </c>
      <c r="J23" s="720">
        <f t="shared" si="2"/>
        <v>0</v>
      </c>
      <c r="K23" s="720">
        <f t="shared" si="2"/>
        <v>1095.9697377903672</v>
      </c>
      <c r="L23" s="720">
        <f t="shared" si="2"/>
        <v>0</v>
      </c>
      <c r="M23" s="720">
        <f t="shared" ca="1" si="2"/>
        <v>0</v>
      </c>
      <c r="N23" s="720">
        <f t="shared" si="2"/>
        <v>14734.482709626602</v>
      </c>
      <c r="O23" s="720">
        <f t="shared" ca="1" si="2"/>
        <v>30711.06545075585</v>
      </c>
      <c r="P23" s="720">
        <f t="shared" si="2"/>
        <v>221.99333333333334</v>
      </c>
      <c r="Q23" s="721">
        <f t="shared" si="2"/>
        <v>800.8</v>
      </c>
      <c r="R23" s="722">
        <f ca="1">R20+R15+R22</f>
        <v>1399741.5306594179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15419.739341183593</v>
      </c>
      <c r="D36" s="703">
        <f ca="1">tertiair!C20</f>
        <v>0</v>
      </c>
      <c r="E36" s="703">
        <f ca="1">tertiair!D20</f>
        <v>22842.447535204356</v>
      </c>
      <c r="F36" s="703">
        <f>tertiair!E20</f>
        <v>150.83538369555532</v>
      </c>
      <c r="G36" s="703">
        <f ca="1">tertiair!F20</f>
        <v>3943.0647522156723</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42356.087012299176</v>
      </c>
    </row>
    <row r="37" spans="1:18">
      <c r="A37" s="874" t="s">
        <v>225</v>
      </c>
      <c r="B37" s="881"/>
      <c r="C37" s="703">
        <f ca="1">huishoudens!B12</f>
        <v>14146.725519690339</v>
      </c>
      <c r="D37" s="703">
        <f ca="1">huishoudens!C12</f>
        <v>0</v>
      </c>
      <c r="E37" s="703">
        <f>huishoudens!D12</f>
        <v>25867.11662382057</v>
      </c>
      <c r="F37" s="703">
        <f>huishoudens!E12</f>
        <v>1700.6038459912593</v>
      </c>
      <c r="G37" s="703">
        <f>huishoudens!F12</f>
        <v>16164.774106056622</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57879.22009555879</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53793.589146932944</v>
      </c>
      <c r="D39" s="703">
        <f ca="1">industrie!C22</f>
        <v>0</v>
      </c>
      <c r="E39" s="703">
        <f>industrie!D22</f>
        <v>45513.509276552257</v>
      </c>
      <c r="F39" s="703">
        <f>industrie!E22</f>
        <v>405.51119598396747</v>
      </c>
      <c r="G39" s="703">
        <f>industrie!F22</f>
        <v>12821.913417559237</v>
      </c>
      <c r="H39" s="703">
        <f>industrie!G22</f>
        <v>0</v>
      </c>
      <c r="I39" s="703">
        <f>industrie!H22</f>
        <v>0</v>
      </c>
      <c r="J39" s="703">
        <f>industrie!I22</f>
        <v>0</v>
      </c>
      <c r="K39" s="703">
        <f>industrie!J22</f>
        <v>317.44024413253527</v>
      </c>
      <c r="L39" s="703">
        <f>industrie!K22</f>
        <v>0</v>
      </c>
      <c r="M39" s="703">
        <f>industrie!L22</f>
        <v>0</v>
      </c>
      <c r="N39" s="703">
        <f>industrie!M22</f>
        <v>0</v>
      </c>
      <c r="O39" s="703">
        <f>industrie!N22</f>
        <v>0</v>
      </c>
      <c r="P39" s="703">
        <f>industrie!O22</f>
        <v>0</v>
      </c>
      <c r="Q39" s="813">
        <f>industrie!P22</f>
        <v>0</v>
      </c>
      <c r="R39" s="907">
        <f ca="1">SUM(C39:Q39)</f>
        <v>112851.96328116095</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83360.054007806873</v>
      </c>
      <c r="D41" s="748">
        <f t="shared" ref="D41:R41" ca="1" si="4">SUM(D35:D40)</f>
        <v>0</v>
      </c>
      <c r="E41" s="748">
        <f t="shared" ca="1" si="4"/>
        <v>94223.073435577186</v>
      </c>
      <c r="F41" s="748">
        <f t="shared" si="4"/>
        <v>2256.9504256707819</v>
      </c>
      <c r="G41" s="748">
        <f t="shared" ca="1" si="4"/>
        <v>32929.752275831532</v>
      </c>
      <c r="H41" s="748">
        <f t="shared" si="4"/>
        <v>0</v>
      </c>
      <c r="I41" s="748">
        <f t="shared" si="4"/>
        <v>0</v>
      </c>
      <c r="J41" s="748">
        <f t="shared" si="4"/>
        <v>0</v>
      </c>
      <c r="K41" s="748">
        <f t="shared" si="4"/>
        <v>317.44024413253527</v>
      </c>
      <c r="L41" s="748">
        <f t="shared" si="4"/>
        <v>0</v>
      </c>
      <c r="M41" s="748">
        <f t="shared" ca="1" si="4"/>
        <v>0</v>
      </c>
      <c r="N41" s="748">
        <f t="shared" si="4"/>
        <v>0</v>
      </c>
      <c r="O41" s="748">
        <f t="shared" ca="1" si="4"/>
        <v>0</v>
      </c>
      <c r="P41" s="748">
        <f t="shared" si="4"/>
        <v>0</v>
      </c>
      <c r="Q41" s="749">
        <f t="shared" si="4"/>
        <v>0</v>
      </c>
      <c r="R41" s="750">
        <f t="shared" ca="1" si="4"/>
        <v>213087.27038901893</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561.48457325613185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561.48457325613185</v>
      </c>
    </row>
    <row r="45" spans="1:18" ht="15" thickBot="1">
      <c r="A45" s="877" t="s">
        <v>307</v>
      </c>
      <c r="B45" s="887"/>
      <c r="C45" s="712">
        <f ca="1">transport!B18</f>
        <v>1.2364874866435653</v>
      </c>
      <c r="D45" s="712">
        <f>transport!C18</f>
        <v>0</v>
      </c>
      <c r="E45" s="712">
        <f>transport!D18</f>
        <v>3.3157369935505874</v>
      </c>
      <c r="F45" s="712">
        <f>transport!E18</f>
        <v>247.84392631599775</v>
      </c>
      <c r="G45" s="712">
        <f>transport!F18</f>
        <v>0</v>
      </c>
      <c r="H45" s="712">
        <f>transport!G18</f>
        <v>77433.292029118005</v>
      </c>
      <c r="I45" s="712">
        <f>transport!H18</f>
        <v>9404.7509336797684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87090.439113593966</v>
      </c>
    </row>
    <row r="46" spans="1:18" ht="15.75" thickBot="1">
      <c r="A46" s="875" t="s">
        <v>230</v>
      </c>
      <c r="B46" s="888"/>
      <c r="C46" s="748">
        <f t="shared" ref="C46:R46" ca="1" si="5">SUM(C43:C45)</f>
        <v>1.2364874866435653</v>
      </c>
      <c r="D46" s="748">
        <f t="shared" ca="1" si="5"/>
        <v>0</v>
      </c>
      <c r="E46" s="748">
        <f t="shared" si="5"/>
        <v>3.3157369935505874</v>
      </c>
      <c r="F46" s="748">
        <f t="shared" si="5"/>
        <v>247.84392631599775</v>
      </c>
      <c r="G46" s="748">
        <f t="shared" si="5"/>
        <v>0</v>
      </c>
      <c r="H46" s="748">
        <f t="shared" si="5"/>
        <v>77994.776602374142</v>
      </c>
      <c r="I46" s="748">
        <f t="shared" si="5"/>
        <v>9404.7509336797684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87651.923686850103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329.27774780326951</v>
      </c>
      <c r="D48" s="703">
        <f ca="1">+landbouw!C12</f>
        <v>0</v>
      </c>
      <c r="E48" s="703">
        <f>+landbouw!D12</f>
        <v>1376.814318450907</v>
      </c>
      <c r="F48" s="703">
        <f>+landbouw!E12</f>
        <v>3.4443734448174244</v>
      </c>
      <c r="G48" s="703">
        <f>+landbouw!F12</f>
        <v>1403.3793663629579</v>
      </c>
      <c r="H48" s="703">
        <f>+landbouw!G12</f>
        <v>0</v>
      </c>
      <c r="I48" s="703">
        <f>+landbouw!H12</f>
        <v>0</v>
      </c>
      <c r="J48" s="703">
        <f>+landbouw!I12</f>
        <v>0</v>
      </c>
      <c r="K48" s="703">
        <f>+landbouw!J12</f>
        <v>70.53304304525463</v>
      </c>
      <c r="L48" s="703">
        <f>+landbouw!K12</f>
        <v>0</v>
      </c>
      <c r="M48" s="703">
        <f>+landbouw!L12</f>
        <v>0</v>
      </c>
      <c r="N48" s="703">
        <f>+landbouw!M12</f>
        <v>0</v>
      </c>
      <c r="O48" s="703">
        <f>+landbouw!N12</f>
        <v>0</v>
      </c>
      <c r="P48" s="703">
        <f>+landbouw!O12</f>
        <v>0</v>
      </c>
      <c r="Q48" s="704">
        <f>+landbouw!P12</f>
        <v>0</v>
      </c>
      <c r="R48" s="746">
        <f ca="1">SUM(C48:Q48)</f>
        <v>3183.4488491072066</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83690.568243096786</v>
      </c>
      <c r="D53" s="758">
        <f t="shared" ref="D53:Q53" ca="1" si="6">D41+D46+D48</f>
        <v>0</v>
      </c>
      <c r="E53" s="758">
        <f t="shared" ca="1" si="6"/>
        <v>95603.203491021646</v>
      </c>
      <c r="F53" s="758">
        <f t="shared" si="6"/>
        <v>2508.2387254315968</v>
      </c>
      <c r="G53" s="758">
        <f t="shared" ca="1" si="6"/>
        <v>34333.131642194487</v>
      </c>
      <c r="H53" s="758">
        <f t="shared" si="6"/>
        <v>77994.776602374142</v>
      </c>
      <c r="I53" s="758">
        <f t="shared" si="6"/>
        <v>9404.7509336797684</v>
      </c>
      <c r="J53" s="758">
        <f t="shared" si="6"/>
        <v>0</v>
      </c>
      <c r="K53" s="758">
        <f t="shared" si="6"/>
        <v>387.97328717778987</v>
      </c>
      <c r="L53" s="758">
        <f t="shared" si="6"/>
        <v>0</v>
      </c>
      <c r="M53" s="758">
        <f t="shared" ca="1" si="6"/>
        <v>0</v>
      </c>
      <c r="N53" s="758">
        <f t="shared" si="6"/>
        <v>0</v>
      </c>
      <c r="O53" s="758">
        <f t="shared" ca="1" si="6"/>
        <v>0</v>
      </c>
      <c r="P53" s="758">
        <f>P41+P46+P48</f>
        <v>0</v>
      </c>
      <c r="Q53" s="759">
        <f t="shared" si="6"/>
        <v>0</v>
      </c>
      <c r="R53" s="760">
        <f ca="1">R41+R46+R48</f>
        <v>303922.64292497624</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0.20443714133049237</v>
      </c>
      <c r="D55" s="824">
        <f t="shared" ca="1" si="7"/>
        <v>0</v>
      </c>
      <c r="E55" s="824">
        <f t="shared" ca="1" si="7"/>
        <v>0.20200000000000001</v>
      </c>
      <c r="F55" s="824">
        <f t="shared" si="7"/>
        <v>0.22699999999999995</v>
      </c>
      <c r="G55" s="824">
        <f t="shared" ca="1" si="7"/>
        <v>0.26700000000000002</v>
      </c>
      <c r="H55" s="824">
        <f t="shared" si="7"/>
        <v>0.26700000000000007</v>
      </c>
      <c r="I55" s="824">
        <f t="shared" si="7"/>
        <v>0.24899999999999997</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27453.809716080214</v>
      </c>
      <c r="C66" s="780">
        <f>'lokale energieproductie'!B6</f>
        <v>27453.809716080214</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3226.5</v>
      </c>
      <c r="C68" s="779">
        <f>B68*IFERROR(SUM(J68:L68)/SUM(D68:M68),0)</f>
        <v>3226.5</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9218.5714285714294</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30680.309716080214</v>
      </c>
      <c r="C69" s="788">
        <f>SUM(C64:C68)</f>
        <v>30680.309716080214</v>
      </c>
      <c r="D69" s="789">
        <f t="shared" ref="D69:M69" si="8">SUM(D67:D68)</f>
        <v>0</v>
      </c>
      <c r="E69" s="789">
        <f t="shared" si="8"/>
        <v>0</v>
      </c>
      <c r="F69" s="789">
        <f t="shared" si="8"/>
        <v>0</v>
      </c>
      <c r="G69" s="789">
        <f t="shared" si="8"/>
        <v>0</v>
      </c>
      <c r="H69" s="789">
        <f t="shared" si="8"/>
        <v>0</v>
      </c>
      <c r="I69" s="789">
        <f t="shared" si="8"/>
        <v>0</v>
      </c>
      <c r="J69" s="789">
        <f t="shared" si="8"/>
        <v>0</v>
      </c>
      <c r="K69" s="789">
        <f t="shared" si="8"/>
        <v>9218.5714285714294</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69198.411930544418</v>
      </c>
      <c r="C4" s="462">
        <f>huishoudens!C8</f>
        <v>0</v>
      </c>
      <c r="D4" s="462">
        <f>huishoudens!D8</f>
        <v>128055.03279119093</v>
      </c>
      <c r="E4" s="462">
        <f>huishoudens!E8</f>
        <v>7491.6468986399086</v>
      </c>
      <c r="F4" s="462">
        <f>huishoudens!F8</f>
        <v>60542.225116316935</v>
      </c>
      <c r="G4" s="462">
        <f>huishoudens!G8</f>
        <v>0</v>
      </c>
      <c r="H4" s="462">
        <f>huishoudens!H8</f>
        <v>0</v>
      </c>
      <c r="I4" s="462">
        <f>huishoudens!I8</f>
        <v>0</v>
      </c>
      <c r="J4" s="462">
        <f>huishoudens!J8</f>
        <v>0</v>
      </c>
      <c r="K4" s="462">
        <f>huishoudens!K8</f>
        <v>0</v>
      </c>
      <c r="L4" s="462">
        <f>huishoudens!L8</f>
        <v>0</v>
      </c>
      <c r="M4" s="462">
        <f>huishoudens!M8</f>
        <v>0</v>
      </c>
      <c r="N4" s="462">
        <f>huishoudens!N8</f>
        <v>27738.6622651711</v>
      </c>
      <c r="O4" s="462">
        <f>huishoudens!O8</f>
        <v>221.99333333333334</v>
      </c>
      <c r="P4" s="463">
        <f>huishoudens!P8</f>
        <v>800.8</v>
      </c>
      <c r="Q4" s="464">
        <f>SUM(B4:P4)</f>
        <v>294048.77233519667</v>
      </c>
    </row>
    <row r="5" spans="1:17">
      <c r="A5" s="461" t="s">
        <v>156</v>
      </c>
      <c r="B5" s="462">
        <f ca="1">tertiair!B16</f>
        <v>72536.173406972448</v>
      </c>
      <c r="C5" s="462">
        <f ca="1">tertiair!C16</f>
        <v>0</v>
      </c>
      <c r="D5" s="462">
        <f ca="1">tertiair!D16</f>
        <v>113081.42344160572</v>
      </c>
      <c r="E5" s="462">
        <f>tertiair!E16</f>
        <v>664.47305592755652</v>
      </c>
      <c r="F5" s="462">
        <f ca="1">tertiair!F16</f>
        <v>14768.032779833979</v>
      </c>
      <c r="G5" s="462">
        <f>tertiair!G16</f>
        <v>0</v>
      </c>
      <c r="H5" s="462">
        <f>tertiair!H16</f>
        <v>0</v>
      </c>
      <c r="I5" s="462">
        <f>tertiair!I16</f>
        <v>0</v>
      </c>
      <c r="J5" s="462">
        <f>tertiair!J16</f>
        <v>0</v>
      </c>
      <c r="K5" s="462">
        <f>tertiair!K16</f>
        <v>0</v>
      </c>
      <c r="L5" s="462">
        <f ca="1">tertiair!L16</f>
        <v>0</v>
      </c>
      <c r="M5" s="462">
        <f>tertiair!M16</f>
        <v>0</v>
      </c>
      <c r="N5" s="462">
        <f ca="1">tertiair!N16</f>
        <v>2972.4031855847502</v>
      </c>
      <c r="O5" s="462">
        <f>tertiair!O16</f>
        <v>0</v>
      </c>
      <c r="P5" s="463">
        <f>tertiair!P16</f>
        <v>0</v>
      </c>
      <c r="Q5" s="461">
        <f t="shared" ref="Q5:Q13" ca="1" si="0">SUM(B5:P5)</f>
        <v>204022.50586992444</v>
      </c>
    </row>
    <row r="6" spans="1:17">
      <c r="A6" s="461" t="s">
        <v>194</v>
      </c>
      <c r="B6" s="462">
        <f>'openbare verlichting'!B8</f>
        <v>2889.1590000000001</v>
      </c>
      <c r="C6" s="462"/>
      <c r="D6" s="462"/>
      <c r="E6" s="462"/>
      <c r="F6" s="462"/>
      <c r="G6" s="462"/>
      <c r="H6" s="462"/>
      <c r="I6" s="462"/>
      <c r="J6" s="462"/>
      <c r="K6" s="462"/>
      <c r="L6" s="462"/>
      <c r="M6" s="462"/>
      <c r="N6" s="462"/>
      <c r="O6" s="462"/>
      <c r="P6" s="463"/>
      <c r="Q6" s="461">
        <f t="shared" si="0"/>
        <v>2889.1590000000001</v>
      </c>
    </row>
    <row r="7" spans="1:17">
      <c r="A7" s="461" t="s">
        <v>112</v>
      </c>
      <c r="B7" s="462">
        <f>landbouw!B8</f>
        <v>1610.6552149003112</v>
      </c>
      <c r="C7" s="462">
        <f>landbouw!C8</f>
        <v>0</v>
      </c>
      <c r="D7" s="462">
        <f>landbouw!D8</f>
        <v>6815.9124675787471</v>
      </c>
      <c r="E7" s="462">
        <f>landbouw!E8</f>
        <v>15.173451298755174</v>
      </c>
      <c r="F7" s="462">
        <f>landbouw!F8</f>
        <v>5256.1024957414147</v>
      </c>
      <c r="G7" s="462">
        <f>landbouw!G8</f>
        <v>0</v>
      </c>
      <c r="H7" s="462">
        <f>landbouw!H8</f>
        <v>0</v>
      </c>
      <c r="I7" s="462">
        <f>landbouw!I8</f>
        <v>0</v>
      </c>
      <c r="J7" s="462">
        <f>landbouw!J8</f>
        <v>199.24588430862889</v>
      </c>
      <c r="K7" s="462">
        <f>landbouw!K8</f>
        <v>0</v>
      </c>
      <c r="L7" s="462">
        <f>landbouw!L8</f>
        <v>0</v>
      </c>
      <c r="M7" s="462">
        <f>landbouw!M8</f>
        <v>0</v>
      </c>
      <c r="N7" s="462">
        <f>landbouw!N8</f>
        <v>0</v>
      </c>
      <c r="O7" s="462">
        <f>landbouw!O8</f>
        <v>0</v>
      </c>
      <c r="P7" s="463">
        <f>landbouw!P8</f>
        <v>0</v>
      </c>
      <c r="Q7" s="461">
        <f t="shared" si="0"/>
        <v>13897.089513827859</v>
      </c>
    </row>
    <row r="8" spans="1:17">
      <c r="A8" s="461" t="s">
        <v>685</v>
      </c>
      <c r="B8" s="462">
        <f>industrie!B18</f>
        <v>263130.21595215134</v>
      </c>
      <c r="C8" s="462">
        <f>industrie!C18</f>
        <v>0</v>
      </c>
      <c r="D8" s="462">
        <f>industrie!D18</f>
        <v>225314.40235916956</v>
      </c>
      <c r="E8" s="462">
        <f>industrie!E18</f>
        <v>1786.3929338500768</v>
      </c>
      <c r="F8" s="462">
        <f>industrie!F18</f>
        <v>48022.147631307998</v>
      </c>
      <c r="G8" s="462">
        <f>industrie!G18</f>
        <v>0</v>
      </c>
      <c r="H8" s="462">
        <f>industrie!H18</f>
        <v>0</v>
      </c>
      <c r="I8" s="462">
        <f>industrie!I18</f>
        <v>0</v>
      </c>
      <c r="J8" s="462">
        <f>industrie!J18</f>
        <v>896.72385348173816</v>
      </c>
      <c r="K8" s="462">
        <f>industrie!K18</f>
        <v>0</v>
      </c>
      <c r="L8" s="462">
        <f>industrie!L18</f>
        <v>0</v>
      </c>
      <c r="M8" s="462">
        <f>industrie!M18</f>
        <v>0</v>
      </c>
      <c r="N8" s="462">
        <f>industrie!N18</f>
        <v>0</v>
      </c>
      <c r="O8" s="462">
        <f>industrie!O18</f>
        <v>0</v>
      </c>
      <c r="P8" s="463">
        <f>industrie!P18</f>
        <v>0</v>
      </c>
      <c r="Q8" s="461">
        <f t="shared" si="0"/>
        <v>539149.88272996061</v>
      </c>
    </row>
    <row r="9" spans="1:17" s="467" customFormat="1">
      <c r="A9" s="465" t="s">
        <v>579</v>
      </c>
      <c r="B9" s="466">
        <f>transport!B14</f>
        <v>6.0482526736404711</v>
      </c>
      <c r="C9" s="466">
        <f>transport!C14</f>
        <v>0</v>
      </c>
      <c r="D9" s="466">
        <f>transport!D14</f>
        <v>16.414539572032609</v>
      </c>
      <c r="E9" s="466">
        <f>transport!E14</f>
        <v>1091.8234639471266</v>
      </c>
      <c r="F9" s="466">
        <f>transport!F14</f>
        <v>0</v>
      </c>
      <c r="G9" s="466">
        <f>transport!G14</f>
        <v>290012.32969707117</v>
      </c>
      <c r="H9" s="466">
        <f>transport!H14</f>
        <v>37770.08407100309</v>
      </c>
      <c r="I9" s="466">
        <f>transport!I14</f>
        <v>0</v>
      </c>
      <c r="J9" s="466">
        <f>transport!J14</f>
        <v>0</v>
      </c>
      <c r="K9" s="466">
        <f>transport!K14</f>
        <v>0</v>
      </c>
      <c r="L9" s="466">
        <f>transport!L14</f>
        <v>0</v>
      </c>
      <c r="M9" s="466">
        <f>transport!M14</f>
        <v>14642.139212104441</v>
      </c>
      <c r="N9" s="466">
        <f>transport!N14</f>
        <v>0</v>
      </c>
      <c r="O9" s="466">
        <f>transport!O14</f>
        <v>0</v>
      </c>
      <c r="P9" s="466">
        <f>transport!P14</f>
        <v>0</v>
      </c>
      <c r="Q9" s="465">
        <f>SUM(B9:P9)</f>
        <v>343538.83923637145</v>
      </c>
    </row>
    <row r="10" spans="1:17">
      <c r="A10" s="461" t="s">
        <v>569</v>
      </c>
      <c r="B10" s="462">
        <f>transport!B54</f>
        <v>0</v>
      </c>
      <c r="C10" s="462">
        <f>transport!C54</f>
        <v>0</v>
      </c>
      <c r="D10" s="462">
        <f>transport!D54</f>
        <v>0</v>
      </c>
      <c r="E10" s="462">
        <f>transport!E54</f>
        <v>0</v>
      </c>
      <c r="F10" s="462">
        <f>transport!F54</f>
        <v>0</v>
      </c>
      <c r="G10" s="462">
        <f>transport!G54</f>
        <v>2102.9384766147259</v>
      </c>
      <c r="H10" s="462">
        <f>transport!H54</f>
        <v>0</v>
      </c>
      <c r="I10" s="462">
        <f>transport!I54</f>
        <v>0</v>
      </c>
      <c r="J10" s="462">
        <f>transport!J54</f>
        <v>0</v>
      </c>
      <c r="K10" s="462">
        <f>transport!K54</f>
        <v>0</v>
      </c>
      <c r="L10" s="462">
        <f>transport!L54</f>
        <v>0</v>
      </c>
      <c r="M10" s="462">
        <f>transport!M54</f>
        <v>92.343497522160405</v>
      </c>
      <c r="N10" s="462">
        <f>transport!N54</f>
        <v>0</v>
      </c>
      <c r="O10" s="462">
        <f>transport!O54</f>
        <v>0</v>
      </c>
      <c r="P10" s="463">
        <f>transport!P54</f>
        <v>0</v>
      </c>
      <c r="Q10" s="461">
        <f t="shared" si="0"/>
        <v>2195.2819741368862</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409370.6637572422</v>
      </c>
      <c r="C14" s="472">
        <f t="shared" ref="C14:Q14" ca="1" si="1">SUM(C4:C13)</f>
        <v>0</v>
      </c>
      <c r="D14" s="472">
        <f t="shared" ca="1" si="1"/>
        <v>473283.18559911702</v>
      </c>
      <c r="E14" s="472">
        <f t="shared" si="1"/>
        <v>11049.509803663424</v>
      </c>
      <c r="F14" s="472">
        <f t="shared" ca="1" si="1"/>
        <v>128588.50802320032</v>
      </c>
      <c r="G14" s="472">
        <f t="shared" si="1"/>
        <v>292115.26817368588</v>
      </c>
      <c r="H14" s="472">
        <f t="shared" si="1"/>
        <v>37770.08407100309</v>
      </c>
      <c r="I14" s="472">
        <f t="shared" si="1"/>
        <v>0</v>
      </c>
      <c r="J14" s="472">
        <f t="shared" si="1"/>
        <v>1095.9697377903672</v>
      </c>
      <c r="K14" s="472">
        <f t="shared" si="1"/>
        <v>0</v>
      </c>
      <c r="L14" s="472">
        <f t="shared" ca="1" si="1"/>
        <v>0</v>
      </c>
      <c r="M14" s="472">
        <f t="shared" si="1"/>
        <v>14734.482709626602</v>
      </c>
      <c r="N14" s="472">
        <f t="shared" ca="1" si="1"/>
        <v>30711.06545075585</v>
      </c>
      <c r="O14" s="472">
        <f t="shared" si="1"/>
        <v>221.99333333333334</v>
      </c>
      <c r="P14" s="473">
        <f t="shared" si="1"/>
        <v>800.8</v>
      </c>
      <c r="Q14" s="473">
        <f t="shared" ca="1" si="1"/>
        <v>1399741.5306594179</v>
      </c>
    </row>
    <row r="16" spans="1:17">
      <c r="A16" s="475" t="s">
        <v>574</v>
      </c>
      <c r="B16" s="829">
        <f ca="1">huishoudens!B10</f>
        <v>0.20443714133049237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14146.725519690339</v>
      </c>
      <c r="C21" s="462">
        <f t="shared" ref="C21:C30" ca="1" si="3">C4*$C$16</f>
        <v>0</v>
      </c>
      <c r="D21" s="462">
        <f t="shared" ref="D21:D30" si="4">D4*$D$16</f>
        <v>25867.11662382057</v>
      </c>
      <c r="E21" s="462">
        <f t="shared" ref="E21:E30" si="5">E4*$E$16</f>
        <v>1700.6038459912593</v>
      </c>
      <c r="F21" s="462">
        <f t="shared" ref="F21:F30" si="6">F4*$F$16</f>
        <v>16164.774106056622</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57879.22009555879</v>
      </c>
    </row>
    <row r="22" spans="1:17">
      <c r="A22" s="461" t="s">
        <v>156</v>
      </c>
      <c r="B22" s="462">
        <f t="shared" ca="1" si="2"/>
        <v>14829.087934374329</v>
      </c>
      <c r="C22" s="462">
        <f t="shared" ca="1" si="3"/>
        <v>0</v>
      </c>
      <c r="D22" s="462">
        <f t="shared" ca="1" si="4"/>
        <v>22842.447535204356</v>
      </c>
      <c r="E22" s="462">
        <f t="shared" si="5"/>
        <v>150.83538369555532</v>
      </c>
      <c r="F22" s="462">
        <f t="shared" ca="1" si="6"/>
        <v>3943.0647522156723</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41765.435605489911</v>
      </c>
    </row>
    <row r="23" spans="1:17">
      <c r="A23" s="461" t="s">
        <v>194</v>
      </c>
      <c r="B23" s="462">
        <f t="shared" ca="1" si="2"/>
        <v>590.65140680926402</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590.65140680926402</v>
      </c>
    </row>
    <row r="24" spans="1:17">
      <c r="A24" s="461" t="s">
        <v>112</v>
      </c>
      <c r="B24" s="462">
        <f t="shared" ca="1" si="2"/>
        <v>329.27774780326951</v>
      </c>
      <c r="C24" s="462">
        <f t="shared" ca="1" si="3"/>
        <v>0</v>
      </c>
      <c r="D24" s="462">
        <f t="shared" si="4"/>
        <v>1376.814318450907</v>
      </c>
      <c r="E24" s="462">
        <f t="shared" si="5"/>
        <v>3.4443734448174244</v>
      </c>
      <c r="F24" s="462">
        <f t="shared" si="6"/>
        <v>1403.3793663629579</v>
      </c>
      <c r="G24" s="462">
        <f t="shared" si="7"/>
        <v>0</v>
      </c>
      <c r="H24" s="462">
        <f t="shared" si="8"/>
        <v>0</v>
      </c>
      <c r="I24" s="462">
        <f t="shared" si="9"/>
        <v>0</v>
      </c>
      <c r="J24" s="462">
        <f t="shared" si="10"/>
        <v>70.53304304525463</v>
      </c>
      <c r="K24" s="462">
        <f t="shared" si="11"/>
        <v>0</v>
      </c>
      <c r="L24" s="462">
        <f t="shared" si="12"/>
        <v>0</v>
      </c>
      <c r="M24" s="462">
        <f t="shared" si="13"/>
        <v>0</v>
      </c>
      <c r="N24" s="462">
        <f t="shared" si="14"/>
        <v>0</v>
      </c>
      <c r="O24" s="462">
        <f t="shared" si="15"/>
        <v>0</v>
      </c>
      <c r="P24" s="463">
        <f t="shared" si="16"/>
        <v>0</v>
      </c>
      <c r="Q24" s="461">
        <f t="shared" ca="1" si="17"/>
        <v>3183.4488491072066</v>
      </c>
    </row>
    <row r="25" spans="1:17">
      <c r="A25" s="461" t="s">
        <v>685</v>
      </c>
      <c r="B25" s="462">
        <f t="shared" ca="1" si="2"/>
        <v>53793.589146932944</v>
      </c>
      <c r="C25" s="462">
        <f t="shared" ca="1" si="3"/>
        <v>0</v>
      </c>
      <c r="D25" s="462">
        <f t="shared" si="4"/>
        <v>45513.509276552257</v>
      </c>
      <c r="E25" s="462">
        <f t="shared" si="5"/>
        <v>405.51119598396747</v>
      </c>
      <c r="F25" s="462">
        <f t="shared" si="6"/>
        <v>12821.913417559237</v>
      </c>
      <c r="G25" s="462">
        <f t="shared" si="7"/>
        <v>0</v>
      </c>
      <c r="H25" s="462">
        <f t="shared" si="8"/>
        <v>0</v>
      </c>
      <c r="I25" s="462">
        <f t="shared" si="9"/>
        <v>0</v>
      </c>
      <c r="J25" s="462">
        <f t="shared" si="10"/>
        <v>317.44024413253527</v>
      </c>
      <c r="K25" s="462">
        <f t="shared" si="11"/>
        <v>0</v>
      </c>
      <c r="L25" s="462">
        <f t="shared" si="12"/>
        <v>0</v>
      </c>
      <c r="M25" s="462">
        <f t="shared" si="13"/>
        <v>0</v>
      </c>
      <c r="N25" s="462">
        <f t="shared" si="14"/>
        <v>0</v>
      </c>
      <c r="O25" s="462">
        <f t="shared" si="15"/>
        <v>0</v>
      </c>
      <c r="P25" s="463">
        <f t="shared" si="16"/>
        <v>0</v>
      </c>
      <c r="Q25" s="461">
        <f t="shared" ca="1" si="17"/>
        <v>112851.96328116095</v>
      </c>
    </row>
    <row r="26" spans="1:17" s="467" customFormat="1">
      <c r="A26" s="465" t="s">
        <v>579</v>
      </c>
      <c r="B26" s="823">
        <f t="shared" ca="1" si="2"/>
        <v>1.2364874866435653</v>
      </c>
      <c r="C26" s="466">
        <f t="shared" ca="1" si="3"/>
        <v>0</v>
      </c>
      <c r="D26" s="466">
        <f t="shared" si="4"/>
        <v>3.3157369935505874</v>
      </c>
      <c r="E26" s="466">
        <f t="shared" si="5"/>
        <v>247.84392631599775</v>
      </c>
      <c r="F26" s="466">
        <f t="shared" si="6"/>
        <v>0</v>
      </c>
      <c r="G26" s="466">
        <f t="shared" si="7"/>
        <v>77433.292029118005</v>
      </c>
      <c r="H26" s="466">
        <f t="shared" si="8"/>
        <v>9404.7509336797684</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87090.439113593966</v>
      </c>
    </row>
    <row r="27" spans="1:17">
      <c r="A27" s="461" t="s">
        <v>569</v>
      </c>
      <c r="B27" s="462">
        <f t="shared" ca="1" si="2"/>
        <v>0</v>
      </c>
      <c r="C27" s="462">
        <f t="shared" ca="1" si="3"/>
        <v>0</v>
      </c>
      <c r="D27" s="462">
        <f t="shared" si="4"/>
        <v>0</v>
      </c>
      <c r="E27" s="462">
        <f t="shared" si="5"/>
        <v>0</v>
      </c>
      <c r="F27" s="462">
        <f t="shared" si="6"/>
        <v>0</v>
      </c>
      <c r="G27" s="462">
        <f t="shared" si="7"/>
        <v>561.48457325613185</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561.48457325613185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83690.568243096801</v>
      </c>
      <c r="C31" s="472">
        <f t="shared" ca="1" si="18"/>
        <v>0</v>
      </c>
      <c r="D31" s="472">
        <f t="shared" ca="1" si="18"/>
        <v>95603.203491021646</v>
      </c>
      <c r="E31" s="472">
        <f t="shared" si="18"/>
        <v>2508.2387254315972</v>
      </c>
      <c r="F31" s="472">
        <f t="shared" ca="1" si="18"/>
        <v>34333.131642194494</v>
      </c>
      <c r="G31" s="472">
        <f t="shared" si="18"/>
        <v>77994.776602374142</v>
      </c>
      <c r="H31" s="472">
        <f t="shared" si="18"/>
        <v>9404.7509336797684</v>
      </c>
      <c r="I31" s="472">
        <f t="shared" si="18"/>
        <v>0</v>
      </c>
      <c r="J31" s="472">
        <f t="shared" si="18"/>
        <v>387.97328717778987</v>
      </c>
      <c r="K31" s="472">
        <f t="shared" si="18"/>
        <v>0</v>
      </c>
      <c r="L31" s="472">
        <f t="shared" ca="1" si="18"/>
        <v>0</v>
      </c>
      <c r="M31" s="472">
        <f t="shared" si="18"/>
        <v>0</v>
      </c>
      <c r="N31" s="472">
        <f t="shared" ca="1" si="18"/>
        <v>0</v>
      </c>
      <c r="O31" s="472">
        <f t="shared" si="18"/>
        <v>0</v>
      </c>
      <c r="P31" s="473">
        <f t="shared" si="18"/>
        <v>0</v>
      </c>
      <c r="Q31" s="473">
        <f t="shared" ca="1" si="18"/>
        <v>303922.64292497619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0.20443714133049237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0.20443714133049237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0.20443714133049237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2018-06-27T09:19:02Z</dcterms:modified>
</cp:coreProperties>
</file>