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B16" i="18"/>
  <c r="B78" i="14" s="1"/>
  <c r="B81" s="1"/>
  <c r="C13" i="15"/>
  <c r="C16" s="1"/>
  <c r="D10" i="14" s="1"/>
  <c r="D12" i="22"/>
  <c r="E17" i="14"/>
  <c r="D13" i="48"/>
  <c r="D31" i="20"/>
  <c r="E43" i="14" s="1"/>
  <c r="E12" i="22"/>
  <c r="F17" i="14"/>
  <c r="E13" i="48"/>
  <c r="E30" s="1"/>
  <c r="I101" i="18"/>
  <c r="H16" s="1"/>
  <c r="I78" i="14" s="1"/>
  <c r="I81" s="1"/>
  <c r="E101" i="18"/>
  <c r="E16" s="1"/>
  <c r="F78" i="14" s="1"/>
  <c r="H101" i="18"/>
  <c r="D101"/>
  <c r="G101"/>
  <c r="C101"/>
  <c r="F101"/>
  <c r="B101"/>
  <c r="C16" s="1"/>
  <c r="D78" i="14" s="1"/>
  <c r="O78" s="1"/>
  <c r="I11" i="48"/>
  <c r="I28" s="1"/>
  <c r="N19" i="19"/>
  <c r="O35" i="14" s="1"/>
  <c r="B6" i="48"/>
  <c r="Q6" s="1"/>
  <c r="B8" i="9"/>
  <c r="P22" i="16"/>
  <c r="Q39" i="14" s="1"/>
  <c r="P18" i="16"/>
  <c r="G22" i="14"/>
  <c r="F8" i="17"/>
  <c r="F12" s="1"/>
  <c r="G48" i="14" s="1"/>
  <c r="K22"/>
  <c r="J8" i="17"/>
  <c r="J7" i="48" s="1"/>
  <c r="J24" s="1"/>
  <c r="O80" i="14"/>
  <c r="C97" i="18"/>
  <c r="I19" i="19"/>
  <c r="J35" i="14" s="1"/>
  <c r="B12" i="22"/>
  <c r="B13" i="48"/>
  <c r="C17" i="14"/>
  <c r="E31" i="20"/>
  <c r="F43" i="14" s="1"/>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L41"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J15" i="14"/>
  <c r="H15"/>
  <c r="L15"/>
  <c r="Q46"/>
  <c r="H69"/>
  <c r="O20"/>
  <c r="Q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J27"/>
  <c r="D29"/>
  <c r="H29"/>
  <c r="P29"/>
  <c r="K30"/>
  <c r="O30"/>
  <c r="C22" i="13"/>
  <c r="C21"/>
  <c r="C20"/>
  <c r="D23" i="48"/>
  <c r="H23"/>
  <c r="P23"/>
  <c r="H25"/>
  <c r="P26"/>
  <c r="F28"/>
  <c r="J28"/>
  <c r="N28"/>
  <c r="D30"/>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K68"/>
  <c r="E81"/>
  <c r="M81"/>
  <c r="F19" i="18"/>
  <c r="D11" i="14"/>
  <c r="C4" i="48"/>
  <c r="M8" i="18"/>
  <c r="M17"/>
  <c r="M18"/>
  <c r="D13" i="14"/>
  <c r="L8" i="17" l="1"/>
  <c r="L12" s="1"/>
  <c r="M48" i="14" s="1"/>
  <c r="L5" i="17"/>
  <c r="L29" i="48"/>
  <c r="F7"/>
  <c r="F24" s="1"/>
  <c r="C19" i="18"/>
  <c r="J12" i="17"/>
  <c r="K48" i="14" s="1"/>
  <c r="E19" i="18"/>
  <c r="B19"/>
  <c r="H19"/>
  <c r="I16"/>
  <c r="C68" i="14"/>
  <c r="F81"/>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D18" s="1"/>
  <c r="E45" i="14" s="1"/>
  <c r="E46" s="1"/>
  <c r="N17"/>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M13" i="48"/>
  <c r="M30" s="1"/>
  <c r="M51" i="22"/>
  <c r="M50" s="1"/>
  <c r="M54" s="1"/>
  <c r="M10" i="48" s="1"/>
  <c r="M27" s="1"/>
  <c r="H31" i="20"/>
  <c r="I43" i="14" s="1"/>
  <c r="H13" i="48"/>
  <c r="H30" s="1"/>
  <c r="M31" i="20"/>
  <c r="N43" i="14" s="1"/>
  <c r="G50" i="22"/>
  <c r="G54" s="1"/>
  <c r="H18" i="14" s="1"/>
  <c r="G13" i="48"/>
  <c r="G30" s="1"/>
  <c r="F20" i="14"/>
  <c r="H17"/>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E19"/>
  <c r="E20" s="1"/>
  <c r="O28" i="48"/>
  <c r="H22"/>
  <c r="K31"/>
  <c r="L26"/>
  <c r="M29"/>
  <c r="M25"/>
  <c r="M24"/>
  <c r="I31"/>
  <c r="C50" i="13"/>
  <c r="J5" s="1"/>
  <c r="J8" s="1"/>
  <c r="C5" i="48"/>
  <c r="J78" i="14" l="1"/>
  <c r="J81" s="1"/>
  <c r="I19" i="18"/>
  <c r="M22" i="14"/>
  <c r="J7" i="18"/>
  <c r="M7" s="1"/>
  <c r="M9" s="1"/>
  <c r="L7" i="48"/>
  <c r="L24" s="1"/>
  <c r="E7"/>
  <c r="E24" s="1"/>
  <c r="E12" i="17"/>
  <c r="F48" i="14" s="1"/>
  <c r="C19"/>
  <c r="C20" s="1"/>
  <c r="R17"/>
  <c r="C14" i="48"/>
  <c r="E10" i="14"/>
  <c r="E15" s="1"/>
  <c r="E23" s="1"/>
  <c r="D5" i="48"/>
  <c r="D22" s="1"/>
  <c r="D31"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C67"/>
  <c r="C69"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<sst xmlns="http://schemas.openxmlformats.org/spreadsheetml/2006/main" count="2027" uniqueCount="883">
  <si>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</si>
  <si>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</si>
  <si>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</si>
  <si>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</si>
  <si>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</si>
  <si>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</si>
  <si>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</si>
  <si>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</si>
  <si>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</si>
  <si>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</si>
  <si>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</si>
  <si>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</si>
  <si>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</si>
  <si>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</si>
  <si>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</si>
  <si>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</si>
  <si>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</si>
  <si>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</si>
  <si>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</si>
  <si>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</si>
  <si>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</si>
  <si>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</si>
  <si>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</si>
  <si>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</si>
  <si>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</si>
  <si>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</si>
  <si>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</si>
  <si>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</si>
  <si>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</si>
  <si>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</si>
  <si>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</si>
  <si>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</si>
  <si>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</si>
  <si>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</si>
  <si>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</si>
  <si>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</si>
  <si>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</si>
  <si>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</si>
  <si>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</si>
  <si>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</si>
  <si>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</si>
  <si>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</si>
  <si>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</si>
  <si>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</si>
  <si>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</si>
  <si>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</si>
  <si>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</si>
  <si>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</si>
  <si>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</si>
  <si>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</si>
  <si>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</si>
  <si>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</si>
  <si>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</si>
  <si>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</si>
  <si>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</si>
  <si>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</si>
  <si>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</si>
  <si>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</si>
  <si>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</si>
  <si>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</si>
  <si>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</si>
  <si>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</si>
  <si>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</si>
  <si>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</si>
  <si>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</si>
  <si>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</si>
  <si>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</si>
  <si>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</si>
  <si>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</si>
  <si>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</si>
  <si>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</si>
  <si>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</si>
  <si>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</si>
  <si>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</si>
  <si>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</si>
  <si>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</si>
  <si>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</si>
  <si>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</si>
  <si>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</si>
  <si>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</si>
  <si>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</si>
  <si>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</si>
  <si>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</si>
  <si>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</si>
  <si>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</si>
  <si>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</si>
  <si>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</si>
  <si>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</si>
  <si>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</si>
  <si>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</si>
  <si>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</si>
  <si>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</si>
  <si>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</si>
  <si>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</si>
  <si>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</si>
  <si>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</si>
  <si>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</si>
  <si>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</si>
  <si>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</si>
  <si>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</si>
  <si>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</si>
  <si>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</si>
  <si>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</si>
  <si>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</si>
  <si>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</si>
  <si>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</si>
  <si>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</si>
  <si>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</si>
  <si>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</si>
  <si>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</si>
  <si>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</si>
  <si>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</si>
  <si>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</si>
  <si>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</si>
  <si>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</si>
  <si>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</si>
  <si>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</si>
  <si>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</si>
  <si>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</si>
  <si>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</si>
  <si>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</si>
  <si>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</si>
  <si>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</si>
  <si>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</si>
  <si>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</si>
  <si>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</si>
  <si>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</si>
  <si>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</si>
  <si>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</si>
  <si>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</si>
  <si>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</si>
  <si>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</si>
  <si>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</si>
  <si>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</si>
  <si>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</si>
  <si>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</si>
  <si>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</si>
  <si>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</si>
  <si>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</si>
  <si>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</si>
  <si>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</si>
  <si>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</si>
  <si>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</si>
  <si>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</si>
  <si>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</si>
  <si>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</si>
  <si>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</si>
  <si>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</si>
  <si>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</si>
  <si>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</si>
  <si>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</si>
  <si>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</si>
  <si>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</si>
  <si>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</si>
  <si>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</si>
  <si>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</si>
  <si>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</si>
  <si>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</si>
  <si>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</si>
  <si>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</si>
  <si>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</si>
  <si>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</si>
  <si>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</si>
  <si>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</si>
  <si>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</si>
  <si>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</si>
  <si>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</si>
  <si>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</si>
  <si>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</si>
  <si>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</si>
  <si>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</si>
  <si>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</si>
  <si>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</si>
  <si>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</si>
  <si>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</si>
  <si>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</si>
  <si>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</si>
  <si>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</si>
  <si>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</si>
  <si>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</si>
  <si>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</si>
  <si>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</si>
  <si>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</si>
  <si>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</si>
  <si>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</si>
  <si>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</si>
  <si>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</si>
  <si>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</si>
  <si>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</si>
  <si>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</si>
  <si>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</si>
  <si>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</si>
  <si>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</si>
  <si>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</si>
  <si>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</si>
  <si>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</si>
  <si>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</si>
  <si>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</si>
  <si>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</si>
  <si>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</si>
  <si>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</si>
  <si>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</si>
  <si>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</si>
  <si>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</si>
  <si>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</si>
  <si>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</si>
  <si>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</si>
  <si>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</si>
  <si>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</si>
  <si>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</si>
  <si>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</si>
  <si>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</si>
  <si>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</si>
  <si>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</si>
  <si>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</si>
  <si>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</si>
  <si>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</si>
  <si>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</si>
  <si>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</si>
  <si>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</si>
  <si>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</si>
  <si>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</si>
  <si>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</si>
  <si>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</si>
  <si>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</si>
  <si>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</si>
  <si>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</si>
  <si>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</si>
  <si>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</si>
  <si>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</si>
  <si>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</si>
  <si>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</si>
  <si>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</si>
  <si>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</si>
  <si>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</si>
  <si>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</si>
  <si>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</si>
  <si>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</si>
  <si>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</si>
  <si>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</si>
  <si>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</si>
  <si>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</si>
  <si>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</si>
  <si>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</si>
  <si>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</si>
  <si>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</si>
  <si>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</si>
  <si>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</si>
  <si>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</si>
  <si>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</si>
  <si>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</si>
  <si>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</si>
  <si>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</si>
  <si>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</si>
  <si>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</si>
  <si>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</si>
  <si>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</si>
  <si>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</si>
  <si>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</si>
  <si>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</si>
  <si>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</si>
  <si>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</si>
  <si>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</si>
  <si>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</si>
  <si>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</si>
  <si>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</si>
  <si>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</si>
  <si>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</si>
  <si>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</si>
  <si>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</si>
  <si>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</si>
  <si>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</si>
  <si>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</si>
  <si>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</si>
  <si>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</si>
  <si>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</si>
  <si>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</si>
  <si>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</si>
  <si>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</si>
  <si>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</si>
  <si>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</si>
  <si>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</si>
  <si>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</si>
  <si>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</si>
  <si>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</si>
  <si>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</si>
  <si>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</si>
  <si>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</si>
  <si>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</si>
  <si>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</si>
  <si>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</si>
  <si>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</si>
  <si>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</si>
  <si>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</si>
  <si>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</si>
  <si>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</si>
  <si>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</si>
  <si>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</si>
  <si>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</si>
  <si>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</si>
  <si>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</si>
  <si>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</si>
  <si>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</si>
  <si>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</si>
  <si>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</si>
  <si>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</si>
  <si>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</si>
  <si>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</si>
  <si>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</si>
  <si>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</si>
  <si>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</si>
  <si>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</si>
  <si>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</si>
  <si>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</si>
  <si>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</si>
  <si>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</si>
  <si>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</si>
  <si>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</si>
  <si>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</si>
  <si>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</si>
  <si>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</si>
  <si>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</si>
  <si>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</si>
  <si>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</si>
  <si>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</si>
  <si>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</si>
  <si>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</si>
  <si>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</si>
  <si>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</si>
  <si>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</si>
  <si>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</si>
  <si>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</si>
  <si>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</si>
  <si>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</si>
  <si>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</si>
  <si>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</si>
  <si>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</si>
  <si>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</si>
  <si>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</si>
  <si>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</si>
  <si>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</si>
  <si>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</si>
  <si>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</si>
  <si>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</si>
  <si>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</si>
  <si>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</si>
  <si>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</si>
  <si>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</si>
  <si>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</si>
  <si>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</si>
  <si>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</si>
  <si>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</si>
  <si>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</si>
  <si>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</si>
  <si>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</si>
  <si>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</si>
  <si>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</si>
  <si>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</si>
  <si>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</si>
  <si>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</si>
  <si>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</si>
  <si>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</si>
  <si>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</si>
  <si>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</si>
  <si>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</si>
  <si>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</si>
  <si>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</si>
  <si>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</si>
  <si>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</si>
  <si>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</si>
  <si>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</si>
  <si>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</si>
  <si>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</si>
  <si>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</si>
  <si>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</si>
  <si>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</si>
  <si>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</si>
  <si>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</si>
  <si>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</si>
  <si>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</si>
  <si>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</si>
  <si>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</si>
  <si>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</si>
  <si>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</si>
  <si>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</si>
  <si>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</si>
  <si>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</si>
  <si>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</si>
  <si>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</si>
  <si>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</si>
  <si>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</si>
  <si>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</si>
  <si>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</si>
  <si>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</si>
  <si>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</si>
  <si>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</si>
  <si>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</si>
  <si>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</si>
  <si>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</si>
  <si>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</si>
  <si>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</si>
  <si>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</si>
  <si>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</si>
  <si>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</si>
  <si>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</si>
  <si>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</si>
  <si>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</si>
  <si>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</si>
  <si>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</si>
  <si>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</si>
  <si>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</si>
  <si>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</si>
  <si>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</si>
  <si>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</si>
  <si>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</si>
  <si>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</si>
  <si>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</si>
  <si>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</si>
  <si>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</si>
  <si>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</si>
  <si>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</si>
  <si>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</si>
  <si>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</si>
  <si>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</si>
  <si>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</si>
  <si>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</si>
  <si>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</si>
  <si>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</si>
  <si>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</si>
  <si>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</si>
  <si>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</si>
  <si>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</si>
  <si>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</si>
  <si>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</si>
  <si>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</si>
  <si>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</si>
  <si>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</si>
  <si>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</si>
  <si>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</si>
  <si>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</si>
  <si>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</si>
  <si>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</si>
  <si>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</si>
  <si>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</si>
  <si>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</si>
  <si>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</si>
  <si>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</si>
  <si>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</si>
  <si>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</si>
  <si>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</si>
  <si>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</si>
  <si>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</si>
  <si>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</si>
  <si>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</si>
  <si>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</si>
  <si>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</si>
  <si>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</si>
  <si>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</si>
  <si>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</si>
  <si>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</si>
  <si>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</si>
  <si>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</si>
  <si>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</si>
  <si>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</si>
  <si>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</si>
  <si>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</si>
  <si>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</si>
  <si>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</si>
  <si>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</si>
  <si>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</si>
  <si>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</si>
  <si>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</si>
  <si>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</si>
  <si>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</si>
  <si>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</si>
  <si>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</si>
  <si>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</si>
  <si>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</si>
  <si>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</si>
  <si>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</si>
  <si>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</si>
  <si>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</si>
  <si>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</si>
  <si>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</si>
  <si>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</si>
  <si>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</si>
  <si>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</si>
  <si>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</si>
  <si>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</si>
  <si>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</si>
  <si>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</si>
  <si>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</si>
  <si>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</si>
  <si>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</si>
  <si>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</si>
  <si>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</si>
  <si>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</si>
  <si>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</si>
  <si>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</si>
  <si>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</si>
  <si>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</si>
  <si>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</si>
  <si>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</si>
  <si>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</si>
  <si>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</si>
  <si>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</si>
  <si>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</si>
  <si>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</si>
  <si>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</si>
  <si>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</si>
  <si>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</si>
  <si>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</si>
  <si>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</si>
  <si>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</si>
  <si>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</si>
  <si>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</si>
  <si>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</si>
  <si>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</si>
  <si>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</si>
  <si>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</si>
  <si>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</si>
  <si>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</si>
  <si>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</si>
  <si>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</si>
  <si>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</si>
  <si>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</si>
  <si>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</si>
  <si>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</si>
  <si>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</si>
  <si>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</si>
  <si>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</si>
  <si>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</si>
  <si>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</si>
  <si>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</si>
  <si>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</si>
  <si>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</si>
  <si>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</si>
  <si>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</si>
  <si>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</si>
  <si>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</si>
  <si>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</si>
  <si>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</si>
  <si>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</si>
  <si>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</si>
  <si>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</si>
  <si>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</si>
  <si>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</si>
  <si>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</si>
  <si>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</si>
  <si>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</si>
  <si>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</si>
  <si>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</si>
  <si>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</si>
  <si>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</si>
  <si>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</si>
  <si>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</si>
  <si>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</si>
  <si>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</si>
  <si>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</si>
  <si>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</si>
  <si>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</si>
  <si>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</si>
  <si>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</si>
  <si>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</si>
  <si>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</si>
  <si>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</si>
  <si>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</si>
  <si>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</si>
  <si>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</si>
  <si>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</si>
  <si>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</si>
  <si>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</si>
  <si>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</si>
  <si>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</si>
  <si>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</si>
  <si>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</si>
  <si>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</si>
  <si>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</si>
  <si>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</si>
  <si>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</si>
  <si>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</si>
  <si>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</si>
  <si>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</si>
  <si>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</si>
  <si>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</si>
  <si>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</si>
  <si>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</si>
  <si>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</si>
  <si>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</si>
  <si>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</si>
  <si>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</si>
  <si>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</si>
  <si>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</si>
  <si>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</si>
  <si>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</si>
  <si>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</si>
  <si>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</si>
  <si>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</si>
  <si>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</si>
  <si>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</si>
  <si>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</si>
  <si>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</si>
  <si>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</si>
  <si>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</si>
  <si>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</si>
  <si>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</si>
  <si>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</si>
  <si>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</si>
  <si>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</si>
  <si>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</si>
  <si>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</si>
  <si>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</si>
  <si>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</si>
  <si>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</si>
  <si>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</si>
  <si>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</si>
  <si>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</si>
  <si>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</si>
  <si>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</si>
  <si>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</si>
  <si>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</si>
  <si>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</si>
  <si>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</si>
  <si>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</si>
  <si>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</si>
  <si>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</si>
  <si>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</si>
  <si>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</si>
  <si>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</si>
  <si>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</si>
  <si>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</si>
  <si>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</si>
  <si>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</si>
  <si>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</si>
  <si>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</si>
  <si>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</si>
  <si>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</si>
  <si>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</si>
  <si>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</si>
  <si>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</si>
  <si>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</si>
  <si>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</si>
  <si>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</si>
  <si>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</si>
  <si>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</si>
  <si>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</si>
  <si>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</si>
  <si>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</si>
  <si>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</si>
  <si>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</si>
  <si>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</si>
  <si>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</si>
  <si>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</si>
  <si>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</si>
  <si>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</si>
  <si>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</si>
  <si>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</si>
  <si>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</si>
  <si>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</si>
  <si>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</si>
  <si>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</si>
  <si>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</si>
  <si>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</si>
  <si>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</si>
  <si>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</si>
  <si>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</si>
  <si>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</si>
  <si>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</si>
  <si>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</si>
  <si>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</si>
  <si>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</si>
  <si>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</si>
  <si>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</si>
  <si>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</si>
  <si>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</si>
  <si>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</si>
  <si>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</si>
  <si>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</si>
  <si>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</si>
  <si>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</si>
  <si>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</si>
  <si>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</si>
  <si>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</si>
  <si>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</si>
  <si>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</si>
  <si>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</si>
  <si>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</si>
  <si>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</si>
  <si>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</si>
  <si>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</si>
  <si>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</si>
  <si>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</si>
  <si>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</si>
  <si>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</si>
  <si>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</si>
  <si>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</si>
  <si>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</si>
  <si>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</si>
  <si>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</si>
  <si>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</si>
  <si>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</si>
  <si>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</si>
  <si>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</si>
  <si>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</si>
  <si>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</si>
  <si>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</si>
  <si>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</si>
  <si>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</si>
  <si>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</si>
  <si>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</si>
  <si>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</si>
  <si>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</si>
  <si>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</si>
  <si>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</si>
  <si>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</si>
  <si>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</si>
  <si>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</si>
  <si>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</si>
  <si>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</si>
  <si>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</si>
  <si>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</si>
  <si>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</si>
  <si>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</si>
  <si>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</si>
  <si>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</si>
  <si>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</si>
  <si>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</si>
  <si>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</si>
  <si>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</si>
  <si>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</si>
  <si>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</si>
  <si>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</si>
  <si>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</si>
  <si>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</si>
  <si>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</si>
  <si>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</si>
  <si>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</si>
  <si>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</si>
  <si>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</si>
  <si>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</si>
  <si>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</si>
  <si>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</si>
  <si>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</si>
  <si>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</si>
  <si>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</si>
  <si>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</si>
  <si>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</si>
  <si>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</si>
  <si>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</si>
  <si>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</si>
  <si>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</si>
  <si>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</si>
  <si>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</si>
  <si>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</si>
  <si>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</si>
  <si>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</si>
  <si>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</si>
  <si>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</si>
  <si>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</si>
  <si>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</si>
  <si>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</si>
  <si>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</si>
  <si>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</si>
  <si>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</si>
  <si>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</si>
  <si>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</si>
  <si>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</si>
  <si>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</si>
  <si>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</si>
  <si>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</si>
  <si>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</si>
  <si>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</si>
  <si>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</si>
  <si>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</si>
  <si>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</si>
  <si>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</si>
  <si>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</si>
  <si>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</si>
  <si>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</si>
  <si>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</si>
  <si>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</si>
  <si>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</si>
  <si>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</si>
  <si>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</si>
  <si>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</si>
  <si>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</si>
  <si>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</si>
  <si>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</si>
  <si>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</si>
  <si>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</si>
  <si>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</si>
  <si>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</si>
  <si>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</si>
  <si>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</si>
  <si>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</si>
  <si>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</si>
  <si>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</si>
  <si>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</si>
  <si>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</si>
  <si>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</si>
  <si>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</si>
  <si>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</si>
  <si>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</si>
  <si>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</si>
  <si>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</si>
  <si>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</si>
  <si>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</si>
  <si>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</si>
  <si>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</si>
  <si>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</si>
  <si>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</si>
  <si>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</si>
  <si>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</si>
  <si>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</si>
  <si>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</si>
  <si>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</si>
  <si>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</si>
  <si>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</si>
  <si>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</si>
  <si>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</si>
  <si>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</si>
  <si>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</si>
  <si>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</si>
  <si>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</si>
  <si>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</si>
  <si>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</si>
  <si>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</si>
  <si>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</si>
  <si>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</si>
  <si>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</si>
  <si>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</si>
  <si>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</si>
  <si>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</si>
  <si>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</si>
  <si>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</si>
  <si>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</si>
  <si>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</si>
  <si>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</si>
  <si>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</si>
  <si>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</si>
  <si>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</si>
  <si>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</si>
  <si>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</si>
  <si>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</si>
  <si>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</si>
  <si>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</si>
  <si>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</si>
  <si>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</si>
  <si>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</si>
  <si>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</si>
  <si>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</si>
  <si>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</si>
  <si>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</si>
  <si>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</si>
  <si>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</si>
  <si>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</si>
  <si>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</si>
  <si>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</si>
  <si>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</si>
  <si>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</si>
  <si>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</si>
  <si>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</si>
  <si>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</si>
  <si>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</si>
  <si>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</si>
  <si>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</si>
  <si>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</si>
  <si>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</si>
  <si>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</si>
  <si>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</si>
  <si>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</si>
  <si>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31003</t>
  </si>
  <si>
    <t>BEERNEM</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</si>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</sst>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31003</v>
      </c>
      <c r="B6" s="397"/>
      <c r="C6" s="398"/>
    </row>
    <row r="7" spans="1:7" s="395" customFormat="1" ht="15.75" customHeight="1">
      <c r="A7" s="399" t="str">
        <f>txtMunicipality</f>
        <v>BEERNEM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18315.1750515397</v>
      </c>
      <c r="D10" s="703">
        <f ca="1">tertiair!C16</f>
        <v>0</v>
      </c>
      <c r="E10" s="703">
        <f ca="1">tertiair!D16</f>
        <v>49298.636874076881</v>
      </c>
      <c r="F10" s="703">
        <f>tertiair!E16</f>
        <v>179.29581820459711</v>
      </c>
      <c r="G10" s="703">
        <f ca="1">tertiair!F16</f>
        <v>3647.6002645824901</v>
      </c>
      <c r="H10" s="703">
        <f>tertiair!G16</f>
        <v>0</v>
      </c>
      <c r="I10" s="703">
        <f>tertiair!H16</f>
        <v>0</v>
      </c>
      <c r="J10" s="703">
        <f>tertiair!I16</f>
        <v>0</v>
      </c>
      <c r="K10" s="703">
        <f>tertiair!J16</f>
        <v>0</v>
      </c>
      <c r="L10" s="703">
        <f>tertiair!K16</f>
        <v>0</v>
      </c>
      <c r="M10" s="703">
        <f ca="1">tertiair!L16</f>
        <v>0</v>
      </c>
      <c r="N10" s="703">
        <f>tertiair!M16</f>
        <v>0</v>
      </c>
      <c r="O10" s="703">
        <f ca="1">tertiair!N16</f>
        <v>1586.5806203856869</v>
      </c>
      <c r="P10" s="703">
        <f>tertiair!O16</f>
        <v>0</v>
      </c>
      <c r="Q10" s="704">
        <f>tertiair!P16</f>
        <v>0</v>
      </c>
      <c r="R10" s="706">
        <f ca="1">SUM(C10:Q10)</f>
        <v>73027.288628789363</v>
      </c>
      <c r="S10" s="68"/>
    </row>
    <row r="11" spans="1:19" s="458" customFormat="1">
      <c r="A11" s="859" t="s">
        <v>225</v>
      </c>
      <c r="B11" s="864"/>
      <c r="C11" s="703">
        <f>huishoudens!B8</f>
        <v>31039.949827529636</v>
      </c>
      <c r="D11" s="703">
        <f>huishoudens!C8</f>
        <v>0</v>
      </c>
      <c r="E11" s="703">
        <f>huishoudens!D8</f>
        <v>47441.370753262927</v>
      </c>
      <c r="F11" s="703">
        <f>huishoudens!E8</f>
        <v>8854.419588245426</v>
      </c>
      <c r="G11" s="703">
        <f>huishoudens!F8</f>
        <v>18523.907417395436</v>
      </c>
      <c r="H11" s="703">
        <f>huishoudens!G8</f>
        <v>0</v>
      </c>
      <c r="I11" s="703">
        <f>huishoudens!H8</f>
        <v>0</v>
      </c>
      <c r="J11" s="703">
        <f>huishoudens!I8</f>
        <v>0</v>
      </c>
      <c r="K11" s="703">
        <f>huishoudens!J8</f>
        <v>4216.0177145537473</v>
      </c>
      <c r="L11" s="703">
        <f>huishoudens!K8</f>
        <v>0</v>
      </c>
      <c r="M11" s="703">
        <f>huishoudens!L8</f>
        <v>0</v>
      </c>
      <c r="N11" s="703">
        <f>huishoudens!M8</f>
        <v>0</v>
      </c>
      <c r="O11" s="703">
        <f>huishoudens!N8</f>
        <v>25892.041104644679</v>
      </c>
      <c r="P11" s="703">
        <f>huishoudens!O8</f>
        <v>143.82666666666668</v>
      </c>
      <c r="Q11" s="704">
        <f>huishoudens!P8</f>
        <v>438.5333333333333</v>
      </c>
      <c r="R11" s="706">
        <f>SUM(C11:Q11)</f>
        <v>136550.06640563183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19451.822067974921</v>
      </c>
      <c r="D13" s="703">
        <f>industrie!C18</f>
        <v>0</v>
      </c>
      <c r="E13" s="703">
        <f>industrie!D18</f>
        <v>17546.350513758094</v>
      </c>
      <c r="F13" s="703">
        <f>industrie!E18</f>
        <v>155.44261726741919</v>
      </c>
      <c r="G13" s="703">
        <f>industrie!F18</f>
        <v>8614.7293453046932</v>
      </c>
      <c r="H13" s="703">
        <f>industrie!G18</f>
        <v>0</v>
      </c>
      <c r="I13" s="703">
        <f>industrie!H18</f>
        <v>0</v>
      </c>
      <c r="J13" s="703">
        <f>industrie!I18</f>
        <v>0</v>
      </c>
      <c r="K13" s="703">
        <f>industrie!J18</f>
        <v>71.253724962955545</v>
      </c>
      <c r="L13" s="703">
        <f>industrie!K18</f>
        <v>0</v>
      </c>
      <c r="M13" s="703">
        <f>industrie!L18</f>
        <v>0</v>
      </c>
      <c r="N13" s="703">
        <f>industrie!M18</f>
        <v>0</v>
      </c>
      <c r="O13" s="703">
        <f>industrie!N18</f>
        <v>959.39102805893242</v>
      </c>
      <c r="P13" s="703">
        <f>industrie!O18</f>
        <v>0</v>
      </c>
      <c r="Q13" s="704">
        <f>industrie!P18</f>
        <v>0</v>
      </c>
      <c r="R13" s="706">
        <f>SUM(C13:Q13)</f>
        <v>46798.989297327018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68806.946947044256</v>
      </c>
      <c r="D15" s="708">
        <f t="shared" ref="D15:Q15" ca="1" si="0">SUM(D9:D14)</f>
        <v>0</v>
      </c>
      <c r="E15" s="708">
        <f t="shared" ca="1" si="0"/>
        <v>114286.35814109789</v>
      </c>
      <c r="F15" s="708">
        <f t="shared" si="0"/>
        <v>9189.1580237174421</v>
      </c>
      <c r="G15" s="708">
        <f t="shared" ca="1" si="0"/>
        <v>30786.237027282623</v>
      </c>
      <c r="H15" s="708">
        <f t="shared" si="0"/>
        <v>0</v>
      </c>
      <c r="I15" s="708">
        <f t="shared" si="0"/>
        <v>0</v>
      </c>
      <c r="J15" s="708">
        <f t="shared" si="0"/>
        <v>0</v>
      </c>
      <c r="K15" s="708">
        <f t="shared" si="0"/>
        <v>4287.2714395167031</v>
      </c>
      <c r="L15" s="708">
        <f t="shared" si="0"/>
        <v>0</v>
      </c>
      <c r="M15" s="708">
        <f t="shared" ca="1" si="0"/>
        <v>0</v>
      </c>
      <c r="N15" s="708">
        <f t="shared" si="0"/>
        <v>0</v>
      </c>
      <c r="O15" s="708">
        <f t="shared" ca="1" si="0"/>
        <v>28438.012753089301</v>
      </c>
      <c r="P15" s="708">
        <f t="shared" si="0"/>
        <v>143.82666666666668</v>
      </c>
      <c r="Q15" s="709">
        <f t="shared" si="0"/>
        <v>438.5333333333333</v>
      </c>
      <c r="R15" s="710">
        <f ca="1">SUM(R9:R14)</f>
        <v>256376.3443317482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1093.155059458649</v>
      </c>
      <c r="I18" s="703">
        <f>transport!H54</f>
        <v>0</v>
      </c>
      <c r="J18" s="703">
        <f>transport!I54</f>
        <v>0</v>
      </c>
      <c r="K18" s="703">
        <f>transport!J54</f>
        <v>0</v>
      </c>
      <c r="L18" s="703">
        <f>transport!K54</f>
        <v>0</v>
      </c>
      <c r="M18" s="703">
        <f>transport!L54</f>
        <v>0</v>
      </c>
      <c r="N18" s="703">
        <f>transport!M54</f>
        <v>48.002241932896489</v>
      </c>
      <c r="O18" s="703">
        <f>transport!N54</f>
        <v>0</v>
      </c>
      <c r="P18" s="703">
        <f>transport!O54</f>
        <v>0</v>
      </c>
      <c r="Q18" s="704">
        <f>transport!P54</f>
        <v>0</v>
      </c>
      <c r="R18" s="706">
        <f>SUM(C18:Q18)</f>
        <v>1141.1573013915456</v>
      </c>
      <c r="S18" s="68"/>
    </row>
    <row r="19" spans="1:19" s="458" customFormat="1" ht="15" thickBot="1">
      <c r="A19" s="859" t="s">
        <v>307</v>
      </c>
      <c r="B19" s="864"/>
      <c r="C19" s="712">
        <f>transport!B14</f>
        <v>4.9135609819599679</v>
      </c>
      <c r="D19" s="712">
        <f>transport!C14</f>
        <v>0</v>
      </c>
      <c r="E19" s="712">
        <f>transport!D14</f>
        <v>13.279457587013164</v>
      </c>
      <c r="F19" s="712">
        <f>transport!E14</f>
        <v>897.98767319033061</v>
      </c>
      <c r="G19" s="712">
        <f>transport!F14</f>
        <v>0</v>
      </c>
      <c r="H19" s="712">
        <f>transport!G14</f>
        <v>208434.91213521664</v>
      </c>
      <c r="I19" s="712">
        <f>transport!H14</f>
        <v>30679.251227382701</v>
      </c>
      <c r="J19" s="712">
        <f>transport!I14</f>
        <v>0</v>
      </c>
      <c r="K19" s="712">
        <f>transport!J14</f>
        <v>0</v>
      </c>
      <c r="L19" s="712">
        <f>transport!K14</f>
        <v>0</v>
      </c>
      <c r="M19" s="712">
        <f>transport!L14</f>
        <v>0</v>
      </c>
      <c r="N19" s="712">
        <f>transport!M14</f>
        <v>10685.074759063955</v>
      </c>
      <c r="O19" s="712">
        <f>transport!N14</f>
        <v>0</v>
      </c>
      <c r="P19" s="712">
        <f>transport!O14</f>
        <v>0</v>
      </c>
      <c r="Q19" s="713">
        <f>transport!P14</f>
        <v>0</v>
      </c>
      <c r="R19" s="714">
        <f>SUM(C19:Q19)</f>
        <v>250715.41881342261</v>
      </c>
      <c r="S19" s="68"/>
    </row>
    <row r="20" spans="1:19" s="458" customFormat="1" ht="15.75" thickBot="1">
      <c r="A20" s="715" t="s">
        <v>230</v>
      </c>
      <c r="B20" s="867"/>
      <c r="C20" s="862">
        <f>SUM(C17:C19)</f>
        <v>4.9135609819599679</v>
      </c>
      <c r="D20" s="716">
        <f t="shared" ref="D20:R20" si="1">SUM(D17:D19)</f>
        <v>0</v>
      </c>
      <c r="E20" s="716">
        <f t="shared" si="1"/>
        <v>13.279457587013164</v>
      </c>
      <c r="F20" s="716">
        <f t="shared" si="1"/>
        <v>897.98767319033061</v>
      </c>
      <c r="G20" s="716">
        <f t="shared" si="1"/>
        <v>0</v>
      </c>
      <c r="H20" s="716">
        <f t="shared" si="1"/>
        <v>209528.0671946753</v>
      </c>
      <c r="I20" s="716">
        <f t="shared" si="1"/>
        <v>30679.251227382701</v>
      </c>
      <c r="J20" s="716">
        <f t="shared" si="1"/>
        <v>0</v>
      </c>
      <c r="K20" s="716">
        <f t="shared" si="1"/>
        <v>0</v>
      </c>
      <c r="L20" s="716">
        <f t="shared" si="1"/>
        <v>0</v>
      </c>
      <c r="M20" s="716">
        <f t="shared" si="1"/>
        <v>0</v>
      </c>
      <c r="N20" s="716">
        <f t="shared" si="1"/>
        <v>10733.077000996851</v>
      </c>
      <c r="O20" s="716">
        <f t="shared" si="1"/>
        <v>0</v>
      </c>
      <c r="P20" s="716">
        <f t="shared" si="1"/>
        <v>0</v>
      </c>
      <c r="Q20" s="717">
        <f t="shared" si="1"/>
        <v>0</v>
      </c>
      <c r="R20" s="718">
        <f t="shared" si="1"/>
        <v>251856.57611481415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4740.8284222798102</v>
      </c>
      <c r="D22" s="712">
        <f>+landbouw!C8</f>
        <v>15820.714285714286</v>
      </c>
      <c r="E22" s="712">
        <f>+landbouw!D8</f>
        <v>2296.1239920383491</v>
      </c>
      <c r="F22" s="712">
        <f>+landbouw!E8</f>
        <v>44.66178019711645</v>
      </c>
      <c r="G22" s="712">
        <f>+landbouw!F8</f>
        <v>15470.896484676281</v>
      </c>
      <c r="H22" s="712">
        <f>+landbouw!G8</f>
        <v>0</v>
      </c>
      <c r="I22" s="712">
        <f>+landbouw!H8</f>
        <v>0</v>
      </c>
      <c r="J22" s="712">
        <f>+landbouw!I8</f>
        <v>0</v>
      </c>
      <c r="K22" s="712">
        <f>+landbouw!J8</f>
        <v>586.46353522102913</v>
      </c>
      <c r="L22" s="712">
        <f>+landbouw!K8</f>
        <v>0</v>
      </c>
      <c r="M22" s="712">
        <f>+landbouw!L8</f>
        <v>0</v>
      </c>
      <c r="N22" s="712">
        <f>+landbouw!M8</f>
        <v>0</v>
      </c>
      <c r="O22" s="712">
        <f>+landbouw!N8</f>
        <v>0</v>
      </c>
      <c r="P22" s="712">
        <f>+landbouw!O8</f>
        <v>0</v>
      </c>
      <c r="Q22" s="713">
        <f>+landbouw!P8</f>
        <v>0</v>
      </c>
      <c r="R22" s="714">
        <f>SUM(C22:Q22)</f>
        <v>38959.688500126875</v>
      </c>
      <c r="S22" s="68"/>
    </row>
    <row r="23" spans="1:19" s="458" customFormat="1" ht="17.25" thickTop="1" thickBot="1">
      <c r="A23" s="719" t="s">
        <v>116</v>
      </c>
      <c r="B23" s="853"/>
      <c r="C23" s="720">
        <f ca="1">C20+C15+C22</f>
        <v>73552.688930306031</v>
      </c>
      <c r="D23" s="720">
        <f t="shared" ref="D23:Q23" ca="1" si="2">D20+D15+D22</f>
        <v>15820.714285714286</v>
      </c>
      <c r="E23" s="720">
        <f t="shared" ca="1" si="2"/>
        <v>116595.76159072325</v>
      </c>
      <c r="F23" s="720">
        <f t="shared" si="2"/>
        <v>10131.80747710489</v>
      </c>
      <c r="G23" s="720">
        <f t="shared" ca="1" si="2"/>
        <v>46257.133511958906</v>
      </c>
      <c r="H23" s="720">
        <f t="shared" si="2"/>
        <v>209528.0671946753</v>
      </c>
      <c r="I23" s="720">
        <f t="shared" si="2"/>
        <v>30679.251227382701</v>
      </c>
      <c r="J23" s="720">
        <f t="shared" si="2"/>
        <v>0</v>
      </c>
      <c r="K23" s="720">
        <f t="shared" si="2"/>
        <v>4873.734974737732</v>
      </c>
      <c r="L23" s="720">
        <f t="shared" si="2"/>
        <v>0</v>
      </c>
      <c r="M23" s="720">
        <f t="shared" ca="1" si="2"/>
        <v>0</v>
      </c>
      <c r="N23" s="720">
        <f t="shared" si="2"/>
        <v>10733.077000996851</v>
      </c>
      <c r="O23" s="720">
        <f t="shared" ca="1" si="2"/>
        <v>28438.012753089301</v>
      </c>
      <c r="P23" s="720">
        <f t="shared" si="2"/>
        <v>143.82666666666668</v>
      </c>
      <c r="Q23" s="721">
        <f t="shared" si="2"/>
        <v>438.5333333333333</v>
      </c>
      <c r="R23" s="722">
        <f ca="1">R20+R15+R22</f>
        <v>547192.60894668917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3152.1237660234851</v>
      </c>
      <c r="D36" s="703">
        <f ca="1">tertiair!C20</f>
        <v>0</v>
      </c>
      <c r="E36" s="703">
        <f ca="1">tertiair!D20</f>
        <v>9958.32464856353</v>
      </c>
      <c r="F36" s="703">
        <f>tertiair!E20</f>
        <v>40.700150732443547</v>
      </c>
      <c r="G36" s="703">
        <f ca="1">tertiair!F20</f>
        <v>973.90927064352491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14125.057835962984</v>
      </c>
    </row>
    <row r="37" spans="1:18">
      <c r="A37" s="874" t="s">
        <v>225</v>
      </c>
      <c r="B37" s="881"/>
      <c r="C37" s="703">
        <f ca="1">huishoudens!B12</f>
        <v>5342.1145728720448</v>
      </c>
      <c r="D37" s="703">
        <f ca="1">huishoudens!C12</f>
        <v>0</v>
      </c>
      <c r="E37" s="703">
        <f>huishoudens!D12</f>
        <v>9583.1568921591115</v>
      </c>
      <c r="F37" s="703">
        <f>huishoudens!E12</f>
        <v>2009.9532465317118</v>
      </c>
      <c r="G37" s="703">
        <f>huishoudens!F12</f>
        <v>4945.8832804445819</v>
      </c>
      <c r="H37" s="703">
        <f>huishoudens!G12</f>
        <v>0</v>
      </c>
      <c r="I37" s="703">
        <f>huishoudens!H12</f>
        <v>0</v>
      </c>
      <c r="J37" s="703">
        <f>huishoudens!I12</f>
        <v>0</v>
      </c>
      <c r="K37" s="703">
        <f>huishoudens!J12</f>
        <v>1492.4702709520266</v>
      </c>
      <c r="L37" s="703">
        <f>huishoudens!K12</f>
        <v>0</v>
      </c>
      <c r="M37" s="703">
        <f>huishoudens!L12</f>
        <v>0</v>
      </c>
      <c r="N37" s="703">
        <f>huishoudens!M12</f>
        <v>0</v>
      </c>
      <c r="O37" s="703">
        <f>huishoudens!N12</f>
        <v>0</v>
      </c>
      <c r="P37" s="703">
        <f>huishoudens!O12</f>
        <v>0</v>
      </c>
      <c r="Q37" s="813">
        <f>huishoudens!P12</f>
        <v>0</v>
      </c>
      <c r="R37" s="906">
        <f ca="1">SUM(C37:Q37)</f>
        <v>23373.57826295948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3347.7458151714095</v>
      </c>
      <c r="D39" s="703">
        <f ca="1">industrie!C22</f>
        <v>0</v>
      </c>
      <c r="E39" s="703">
        <f>industrie!D22</f>
        <v>3544.3628037791354</v>
      </c>
      <c r="F39" s="703">
        <f>industrie!E22</f>
        <v>35.285474119704155</v>
      </c>
      <c r="G39" s="703">
        <f>industrie!F22</f>
        <v>2300.1327351963532</v>
      </c>
      <c r="H39" s="703">
        <f>industrie!G22</f>
        <v>0</v>
      </c>
      <c r="I39" s="703">
        <f>industrie!H22</f>
        <v>0</v>
      </c>
      <c r="J39" s="703">
        <f>industrie!I22</f>
        <v>0</v>
      </c>
      <c r="K39" s="703">
        <f>industrie!J22</f>
        <v>25.223818636886261</v>
      </c>
      <c r="L39" s="703">
        <f>industrie!K22</f>
        <v>0</v>
      </c>
      <c r="M39" s="703">
        <f>industrie!L22</f>
        <v>0</v>
      </c>
      <c r="N39" s="703">
        <f>industrie!M22</f>
        <v>0</v>
      </c>
      <c r="O39" s="703">
        <f>industrie!N22</f>
        <v>0</v>
      </c>
      <c r="P39" s="703">
        <f>industrie!O22</f>
        <v>0</v>
      </c>
      <c r="Q39" s="813">
        <f>industrie!P22</f>
        <v>0</v>
      </c>
      <c r="R39" s="907">
        <f ca="1">SUM(C39:Q39)</f>
        <v>9252.7506469034888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11841.984154066939</v>
      </c>
      <c r="D41" s="748">
        <f t="shared" ref="D41:R41" ca="1" si="4">SUM(D35:D40)</f>
        <v>0</v>
      </c>
      <c r="E41" s="748">
        <f t="shared" ca="1" si="4"/>
        <v>23085.844344501777</v>
      </c>
      <c r="F41" s="748">
        <f t="shared" si="4"/>
        <v>2085.9388713838598</v>
      </c>
      <c r="G41" s="748">
        <f t="shared" ca="1" si="4"/>
        <v>8219.9252862844605</v>
      </c>
      <c r="H41" s="748">
        <f t="shared" si="4"/>
        <v>0</v>
      </c>
      <c r="I41" s="748">
        <f t="shared" si="4"/>
        <v>0</v>
      </c>
      <c r="J41" s="748">
        <f t="shared" si="4"/>
        <v>0</v>
      </c>
      <c r="K41" s="748">
        <f t="shared" si="4"/>
        <v>1517.6940895889129</v>
      </c>
      <c r="L41" s="748">
        <f t="shared" si="4"/>
        <v>0</v>
      </c>
      <c r="M41" s="748">
        <f t="shared" ca="1" si="4"/>
        <v>0</v>
      </c>
      <c r="N41" s="748">
        <f t="shared" si="4"/>
        <v>0</v>
      </c>
      <c r="O41" s="748">
        <f t="shared" ca="1" si="4"/>
        <v>0</v>
      </c>
      <c r="P41" s="748">
        <f t="shared" si="4"/>
        <v>0</v>
      </c>
      <c r="Q41" s="749">
        <f t="shared" si="4"/>
        <v>0</v>
      </c>
      <c r="R41" s="750">
        <f t="shared" ca="1" si="4"/>
        <v>46751.386745825948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291.87240087545928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291.87240087545928</v>
      </c>
    </row>
    <row r="45" spans="1:18" ht="15" thickBot="1">
      <c r="A45" s="877" t="s">
        <v>307</v>
      </c>
      <c r="B45" s="887"/>
      <c r="C45" s="712">
        <f ca="1">transport!B18</f>
        <v>0.84564588126825824</v>
      </c>
      <c r="D45" s="712">
        <f>transport!C18</f>
        <v>0</v>
      </c>
      <c r="E45" s="712">
        <f>transport!D18</f>
        <v>2.6824504325766592</v>
      </c>
      <c r="F45" s="712">
        <f>transport!E18</f>
        <v>203.84320181420506</v>
      </c>
      <c r="G45" s="712">
        <f>transport!F18</f>
        <v>0</v>
      </c>
      <c r="H45" s="712">
        <f>transport!G18</f>
        <v>55652.121540102846</v>
      </c>
      <c r="I45" s="712">
        <f>transport!H18</f>
        <v>7639.133555618293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63498.62639384919</v>
      </c>
    </row>
    <row r="46" spans="1:18" ht="15.75" thickBot="1">
      <c r="A46" s="875" t="s">
        <v>230</v>
      </c>
      <c r="B46" s="888"/>
      <c r="C46" s="748">
        <f t="shared" ref="C46:R46" ca="1" si="5">SUM(C43:C45)</f>
        <v>0.84564588126825824</v>
      </c>
      <c r="D46" s="748">
        <f t="shared" ca="1" si="5"/>
        <v>0</v>
      </c>
      <c r="E46" s="748">
        <f t="shared" si="5"/>
        <v>2.6824504325766592</v>
      </c>
      <c r="F46" s="748">
        <f t="shared" si="5"/>
        <v>203.84320181420506</v>
      </c>
      <c r="G46" s="748">
        <f t="shared" si="5"/>
        <v>0</v>
      </c>
      <c r="H46" s="748">
        <f t="shared" si="5"/>
        <v>55943.993940978304</v>
      </c>
      <c r="I46" s="748">
        <f t="shared" si="5"/>
        <v>7639.133555618293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63790.498794724648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815.91783307861658</v>
      </c>
      <c r="D48" s="703">
        <f ca="1">+landbouw!C12</f>
        <v>0</v>
      </c>
      <c r="E48" s="703">
        <f>+landbouw!D12</f>
        <v>463.81704639174654</v>
      </c>
      <c r="F48" s="703">
        <f>+landbouw!E12</f>
        <v>10.138224104745435</v>
      </c>
      <c r="G48" s="703">
        <f>+landbouw!F12</f>
        <v>4130.7293614085675</v>
      </c>
      <c r="H48" s="703">
        <f>+landbouw!G12</f>
        <v>0</v>
      </c>
      <c r="I48" s="703">
        <f>+landbouw!H12</f>
        <v>0</v>
      </c>
      <c r="J48" s="703">
        <f>+landbouw!I12</f>
        <v>0</v>
      </c>
      <c r="K48" s="703">
        <f>+landbouw!J12</f>
        <v>207.60809146824431</v>
      </c>
      <c r="L48" s="703">
        <f>+landbouw!K12</f>
        <v>0</v>
      </c>
      <c r="M48" s="703">
        <f>+landbouw!L12</f>
        <v>0</v>
      </c>
      <c r="N48" s="703">
        <f>+landbouw!M12</f>
        <v>0</v>
      </c>
      <c r="O48" s="703">
        <f>+landbouw!N12</f>
        <v>0</v>
      </c>
      <c r="P48" s="703">
        <f>+landbouw!O12</f>
        <v>0</v>
      </c>
      <c r="Q48" s="704">
        <f>+landbouw!P12</f>
        <v>0</v>
      </c>
      <c r="R48" s="746">
        <f ca="1">SUM(C48:Q48)</f>
        <v>5628.2105564519206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12658.747633026824</v>
      </c>
      <c r="D53" s="758">
        <f t="shared" ref="D53:Q53" ca="1" si="6">D41+D46+D48</f>
        <v>0</v>
      </c>
      <c r="E53" s="758">
        <f t="shared" ca="1" si="6"/>
        <v>23552.343841326099</v>
      </c>
      <c r="F53" s="758">
        <f t="shared" si="6"/>
        <v>2299.9202973028105</v>
      </c>
      <c r="G53" s="758">
        <f t="shared" ca="1" si="6"/>
        <v>12350.654647693027</v>
      </c>
      <c r="H53" s="758">
        <f t="shared" si="6"/>
        <v>55943.993940978304</v>
      </c>
      <c r="I53" s="758">
        <f t="shared" si="6"/>
        <v>7639.133555618293</v>
      </c>
      <c r="J53" s="758">
        <f t="shared" si="6"/>
        <v>0</v>
      </c>
      <c r="K53" s="758">
        <f t="shared" si="6"/>
        <v>1725.3021810571572</v>
      </c>
      <c r="L53" s="758">
        <f t="shared" si="6"/>
        <v>0</v>
      </c>
      <c r="M53" s="758">
        <f t="shared" ca="1" si="6"/>
        <v>0</v>
      </c>
      <c r="N53" s="758">
        <f t="shared" si="6"/>
        <v>0</v>
      </c>
      <c r="O53" s="758">
        <f t="shared" ca="1" si="6"/>
        <v>0</v>
      </c>
      <c r="P53" s="758">
        <f>P41+P46+P48</f>
        <v>0</v>
      </c>
      <c r="Q53" s="759">
        <f t="shared" si="6"/>
        <v>0</v>
      </c>
      <c r="R53" s="760">
        <f ca="1">R41+R46+R48</f>
        <v>116170.09609700252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0.17210448478670126</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5198.7878758860024</v>
      </c>
      <c r="C66" s="780">
        <f>'lokale energieproductie'!B6</f>
        <v>5198.7878758860024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11074.5</v>
      </c>
      <c r="C67" s="779">
        <f>B67*IFERROR(SUM(J67:L67)/SUM(D67:M67),0)</f>
        <v>11074.5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13028.823529411764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16273.287875886002</v>
      </c>
      <c r="C69" s="788">
        <f>SUM(C64:C68)</f>
        <v>16273.287875886002</v>
      </c>
      <c r="D69" s="789">
        <f t="shared" ref="D69:M69" si="8">SUM(D67:D68)</f>
        <v>0</v>
      </c>
      <c r="E69" s="789">
        <f t="shared" si="8"/>
        <v>0</v>
      </c>
      <c r="F69" s="789">
        <f t="shared" si="8"/>
        <v>0</v>
      </c>
      <c r="G69" s="789">
        <f t="shared" si="8"/>
        <v>0</v>
      </c>
      <c r="H69" s="789">
        <f t="shared" si="8"/>
        <v>0</v>
      </c>
      <c r="I69" s="789">
        <f t="shared" si="8"/>
        <v>0</v>
      </c>
      <c r="J69" s="789">
        <f t="shared" si="8"/>
        <v>0</v>
      </c>
      <c r="K69" s="789">
        <f t="shared" si="8"/>
        <v>13028.823529411764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15820.714285714286</v>
      </c>
      <c r="C78" s="802">
        <f>B78*IFERROR(SUM(I78:L78)/SUM(D78:M78),0)</f>
        <v>15820.714285714286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18612.605042016807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15820.714285714286</v>
      </c>
      <c r="C81" s="788">
        <f>SUM(C78:C80)</f>
        <v>15820.714285714286</v>
      </c>
      <c r="D81" s="788">
        <f t="shared" ref="D81:P81" si="9">SUM(D78:D80)</f>
        <v>0</v>
      </c>
      <c r="E81" s="788">
        <f t="shared" si="9"/>
        <v>0</v>
      </c>
      <c r="F81" s="788">
        <f t="shared" si="9"/>
        <v>0</v>
      </c>
      <c r="G81" s="788">
        <f t="shared" si="9"/>
        <v>0</v>
      </c>
      <c r="H81" s="788">
        <f t="shared" si="9"/>
        <v>0</v>
      </c>
      <c r="I81" s="788">
        <f t="shared" si="9"/>
        <v>0</v>
      </c>
      <c r="J81" s="788">
        <f t="shared" si="9"/>
        <v>0</v>
      </c>
      <c r="K81" s="788">
        <f t="shared" si="9"/>
        <v>18612.605042016807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31039.949827529636</v>
      </c>
      <c r="C4" s="462">
        <f>huishoudens!C8</f>
        <v>0</v>
      </c>
      <c r="D4" s="462">
        <f>huishoudens!D8</f>
        <v>47441.370753262927</v>
      </c>
      <c r="E4" s="462">
        <f>huishoudens!E8</f>
        <v>8854.419588245426</v>
      </c>
      <c r="F4" s="462">
        <f>huishoudens!F8</f>
        <v>18523.907417395436</v>
      </c>
      <c r="G4" s="462">
        <f>huishoudens!G8</f>
        <v>0</v>
      </c>
      <c r="H4" s="462">
        <f>huishoudens!H8</f>
        <v>0</v>
      </c>
      <c r="I4" s="462">
        <f>huishoudens!I8</f>
        <v>0</v>
      </c>
      <c r="J4" s="462">
        <f>huishoudens!J8</f>
        <v>4216.0177145537473</v>
      </c>
      <c r="K4" s="462">
        <f>huishoudens!K8</f>
        <v>0</v>
      </c>
      <c r="L4" s="462">
        <f>huishoudens!L8</f>
        <v>0</v>
      </c>
      <c r="M4" s="462">
        <f>huishoudens!M8</f>
        <v>0</v>
      </c>
      <c r="N4" s="462">
        <f>huishoudens!N8</f>
        <v>25892.041104644679</v>
      </c>
      <c r="O4" s="462">
        <f>huishoudens!O8</f>
        <v>143.82666666666668</v>
      </c>
      <c r="P4" s="463">
        <f>huishoudens!P8</f>
        <v>438.5333333333333</v>
      </c>
      <c r="Q4" s="464">
        <f>SUM(B4:P4)</f>
        <v>136550.06640563183</v>
      </c>
    </row>
    <row r="5" spans="1:17">
      <c r="A5" s="461" t="s">
        <v>156</v>
      </c>
      <c r="B5" s="462">
        <f ca="1">tertiair!B16</f>
        <v>17203.771051539701</v>
      </c>
      <c r="C5" s="462">
        <f ca="1">tertiair!C16</f>
        <v>0</v>
      </c>
      <c r="D5" s="462">
        <f ca="1">tertiair!D16</f>
        <v>49298.636874076881</v>
      </c>
      <c r="E5" s="462">
        <f>tertiair!E16</f>
        <v>179.29581820459711</v>
      </c>
      <c r="F5" s="462">
        <f ca="1">tertiair!F16</f>
        <v>3647.6002645824901</v>
      </c>
      <c r="G5" s="462">
        <f>tertiair!G16</f>
        <v>0</v>
      </c>
      <c r="H5" s="462">
        <f>tertiair!H16</f>
        <v>0</v>
      </c>
      <c r="I5" s="462">
        <f>tertiair!I16</f>
        <v>0</v>
      </c>
      <c r="J5" s="462">
        <f>tertiair!J16</f>
        <v>0</v>
      </c>
      <c r="K5" s="462">
        <f>tertiair!K16</f>
        <v>0</v>
      </c>
      <c r="L5" s="462">
        <f ca="1">tertiair!L16</f>
        <v>0</v>
      </c>
      <c r="M5" s="462">
        <f>tertiair!M16</f>
        <v>0</v>
      </c>
      <c r="N5" s="462">
        <f ca="1">tertiair!N16</f>
        <v>1586.5806203856869</v>
      </c>
      <c r="O5" s="462">
        <f>tertiair!O16</f>
        <v>0</v>
      </c>
      <c r="P5" s="463">
        <f>tertiair!P16</f>
        <v>0</v>
      </c>
      <c r="Q5" s="461">
        <f t="shared" ref="Q5:Q13" ca="1" si="0">SUM(B5:P5)</f>
        <v>71915.884628789368</v>
      </c>
    </row>
    <row r="6" spans="1:17">
      <c r="A6" s="461" t="s">
        <v>194</v>
      </c>
      <c r="B6" s="462">
        <f>'openbare verlichting'!B8</f>
        <v>1111.404</v>
      </c>
      <c r="C6" s="462"/>
      <c r="D6" s="462"/>
      <c r="E6" s="462"/>
      <c r="F6" s="462"/>
      <c r="G6" s="462"/>
      <c r="H6" s="462"/>
      <c r="I6" s="462"/>
      <c r="J6" s="462"/>
      <c r="K6" s="462"/>
      <c r="L6" s="462"/>
      <c r="M6" s="462"/>
      <c r="N6" s="462"/>
      <c r="O6" s="462"/>
      <c r="P6" s="463"/>
      <c r="Q6" s="461">
        <f t="shared" si="0"/>
        <v>1111.404</v>
      </c>
    </row>
    <row r="7" spans="1:17">
      <c r="A7" s="461" t="s">
        <v>112</v>
      </c>
      <c r="B7" s="462">
        <f>landbouw!B8</f>
        <v>4740.8284222798102</v>
      </c>
      <c r="C7" s="462">
        <f>landbouw!C8</f>
        <v>15820.714285714286</v>
      </c>
      <c r="D7" s="462">
        <f>landbouw!D8</f>
        <v>2296.1239920383491</v>
      </c>
      <c r="E7" s="462">
        <f>landbouw!E8</f>
        <v>44.66178019711645</v>
      </c>
      <c r="F7" s="462">
        <f>landbouw!F8</f>
        <v>15470.896484676281</v>
      </c>
      <c r="G7" s="462">
        <f>landbouw!G8</f>
        <v>0</v>
      </c>
      <c r="H7" s="462">
        <f>landbouw!H8</f>
        <v>0</v>
      </c>
      <c r="I7" s="462">
        <f>landbouw!I8</f>
        <v>0</v>
      </c>
      <c r="J7" s="462">
        <f>landbouw!J8</f>
        <v>586.46353522102913</v>
      </c>
      <c r="K7" s="462">
        <f>landbouw!K8</f>
        <v>0</v>
      </c>
      <c r="L7" s="462">
        <f>landbouw!L8</f>
        <v>0</v>
      </c>
      <c r="M7" s="462">
        <f>landbouw!M8</f>
        <v>0</v>
      </c>
      <c r="N7" s="462">
        <f>landbouw!N8</f>
        <v>0</v>
      </c>
      <c r="O7" s="462">
        <f>landbouw!O8</f>
        <v>0</v>
      </c>
      <c r="P7" s="463">
        <f>landbouw!P8</f>
        <v>0</v>
      </c>
      <c r="Q7" s="461">
        <f t="shared" si="0"/>
        <v>38959.688500126875</v>
      </c>
    </row>
    <row r="8" spans="1:17">
      <c r="A8" s="461" t="s">
        <v>685</v>
      </c>
      <c r="B8" s="462">
        <f>industrie!B18</f>
        <v>19451.822067974921</v>
      </c>
      <c r="C8" s="462">
        <f>industrie!C18</f>
        <v>0</v>
      </c>
      <c r="D8" s="462">
        <f>industrie!D18</f>
        <v>17546.350513758094</v>
      </c>
      <c r="E8" s="462">
        <f>industrie!E18</f>
        <v>155.44261726741919</v>
      </c>
      <c r="F8" s="462">
        <f>industrie!F18</f>
        <v>8614.7293453046932</v>
      </c>
      <c r="G8" s="462">
        <f>industrie!G18</f>
        <v>0</v>
      </c>
      <c r="H8" s="462">
        <f>industrie!H18</f>
        <v>0</v>
      </c>
      <c r="I8" s="462">
        <f>industrie!I18</f>
        <v>0</v>
      </c>
      <c r="J8" s="462">
        <f>industrie!J18</f>
        <v>71.253724962955545</v>
      </c>
      <c r="K8" s="462">
        <f>industrie!K18</f>
        <v>0</v>
      </c>
      <c r="L8" s="462">
        <f>industrie!L18</f>
        <v>0</v>
      </c>
      <c r="M8" s="462">
        <f>industrie!M18</f>
        <v>0</v>
      </c>
      <c r="N8" s="462">
        <f>industrie!N18</f>
        <v>959.39102805893242</v>
      </c>
      <c r="O8" s="462">
        <f>industrie!O18</f>
        <v>0</v>
      </c>
      <c r="P8" s="463">
        <f>industrie!P18</f>
        <v>0</v>
      </c>
      <c r="Q8" s="461">
        <f t="shared" si="0"/>
        <v>46798.989297327018</v>
      </c>
    </row>
    <row r="9" spans="1:17" s="467" customFormat="1">
      <c r="A9" s="465" t="s">
        <v>579</v>
      </c>
      <c r="B9" s="466">
        <f>transport!B14</f>
        <v>4.9135609819599679</v>
      </c>
      <c r="C9" s="466">
        <f>transport!C14</f>
        <v>0</v>
      </c>
      <c r="D9" s="466">
        <f>transport!D14</f>
        <v>13.279457587013164</v>
      </c>
      <c r="E9" s="466">
        <f>transport!E14</f>
        <v>897.98767319033061</v>
      </c>
      <c r="F9" s="466">
        <f>transport!F14</f>
        <v>0</v>
      </c>
      <c r="G9" s="466">
        <f>transport!G14</f>
        <v>208434.91213521664</v>
      </c>
      <c r="H9" s="466">
        <f>transport!H14</f>
        <v>30679.251227382701</v>
      </c>
      <c r="I9" s="466">
        <f>transport!I14</f>
        <v>0</v>
      </c>
      <c r="J9" s="466">
        <f>transport!J14</f>
        <v>0</v>
      </c>
      <c r="K9" s="466">
        <f>transport!K14</f>
        <v>0</v>
      </c>
      <c r="L9" s="466">
        <f>transport!L14</f>
        <v>0</v>
      </c>
      <c r="M9" s="466">
        <f>transport!M14</f>
        <v>10685.074759063955</v>
      </c>
      <c r="N9" s="466">
        <f>transport!N14</f>
        <v>0</v>
      </c>
      <c r="O9" s="466">
        <f>transport!O14</f>
        <v>0</v>
      </c>
      <c r="P9" s="466">
        <f>transport!P14</f>
        <v>0</v>
      </c>
      <c r="Q9" s="465">
        <f>SUM(B9:P9)</f>
        <v>250715.41881342261</v>
      </c>
    </row>
    <row r="10" spans="1:17">
      <c r="A10" s="461" t="s">
        <v>569</v>
      </c>
      <c r="B10" s="462">
        <f>transport!B54</f>
        <v>0</v>
      </c>
      <c r="C10" s="462">
        <f>transport!C54</f>
        <v>0</v>
      </c>
      <c r="D10" s="462">
        <f>transport!D54</f>
        <v>0</v>
      </c>
      <c r="E10" s="462">
        <f>transport!E54</f>
        <v>0</v>
      </c>
      <c r="F10" s="462">
        <f>transport!F54</f>
        <v>0</v>
      </c>
      <c r="G10" s="462">
        <f>transport!G54</f>
        <v>1093.155059458649</v>
      </c>
      <c r="H10" s="462">
        <f>transport!H54</f>
        <v>0</v>
      </c>
      <c r="I10" s="462">
        <f>transport!I54</f>
        <v>0</v>
      </c>
      <c r="J10" s="462">
        <f>transport!J54</f>
        <v>0</v>
      </c>
      <c r="K10" s="462">
        <f>transport!K54</f>
        <v>0</v>
      </c>
      <c r="L10" s="462">
        <f>transport!L54</f>
        <v>0</v>
      </c>
      <c r="M10" s="462">
        <f>transport!M54</f>
        <v>48.002241932896489</v>
      </c>
      <c r="N10" s="462">
        <f>transport!N54</f>
        <v>0</v>
      </c>
      <c r="O10" s="462">
        <f>transport!O54</f>
        <v>0</v>
      </c>
      <c r="P10" s="463">
        <f>transport!P54</f>
        <v>0</v>
      </c>
      <c r="Q10" s="461">
        <f t="shared" si="0"/>
        <v>1141.1573013915456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73552.688930306045</v>
      </c>
      <c r="C14" s="472">
        <f t="shared" ref="C14:Q14" ca="1" si="1">SUM(C4:C13)</f>
        <v>15820.714285714286</v>
      </c>
      <c r="D14" s="472">
        <f t="shared" ca="1" si="1"/>
        <v>116595.76159072325</v>
      </c>
      <c r="E14" s="472">
        <f t="shared" si="1"/>
        <v>10131.80747710489</v>
      </c>
      <c r="F14" s="472">
        <f t="shared" ca="1" si="1"/>
        <v>46257.133511958906</v>
      </c>
      <c r="G14" s="472">
        <f t="shared" si="1"/>
        <v>209528.0671946753</v>
      </c>
      <c r="H14" s="472">
        <f t="shared" si="1"/>
        <v>30679.251227382701</v>
      </c>
      <c r="I14" s="472">
        <f t="shared" si="1"/>
        <v>0</v>
      </c>
      <c r="J14" s="472">
        <f t="shared" si="1"/>
        <v>4873.734974737732</v>
      </c>
      <c r="K14" s="472">
        <f t="shared" si="1"/>
        <v>0</v>
      </c>
      <c r="L14" s="472">
        <f t="shared" ca="1" si="1"/>
        <v>0</v>
      </c>
      <c r="M14" s="472">
        <f t="shared" si="1"/>
        <v>10733.077000996851</v>
      </c>
      <c r="N14" s="472">
        <f t="shared" ca="1" si="1"/>
        <v>28438.012753089301</v>
      </c>
      <c r="O14" s="472">
        <f t="shared" si="1"/>
        <v>143.82666666666668</v>
      </c>
      <c r="P14" s="473">
        <f t="shared" si="1"/>
        <v>438.5333333333333</v>
      </c>
      <c r="Q14" s="473">
        <f t="shared" ca="1" si="1"/>
        <v>547192.60894668929</v>
      </c>
    </row>
    <row r="16" spans="1:17">
      <c r="A16" s="475" t="s">
        <v>574</v>
      </c>
      <c r="B16" s="829">
        <f ca="1">huishoudens!B10</f>
        <v>0.17210448478670126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5342.1145728720448</v>
      </c>
      <c r="C21" s="462">
        <f t="shared" ref="C21:C30" ca="1" si="3">C4*$C$16</f>
        <v>0</v>
      </c>
      <c r="D21" s="462">
        <f t="shared" ref="D21:D30" si="4">D4*$D$16</f>
        <v>9583.1568921591115</v>
      </c>
      <c r="E21" s="462">
        <f t="shared" ref="E21:E30" si="5">E4*$E$16</f>
        <v>2009.9532465317118</v>
      </c>
      <c r="F21" s="462">
        <f t="shared" ref="F21:F30" si="6">F4*$F$16</f>
        <v>4945.8832804445819</v>
      </c>
      <c r="G21" s="462">
        <f t="shared" ref="G21:G30" si="7">G4*$G$16</f>
        <v>0</v>
      </c>
      <c r="H21" s="462">
        <f t="shared" ref="H21:H30" si="8">H4*$H$16</f>
        <v>0</v>
      </c>
      <c r="I21" s="462">
        <f t="shared" ref="I21:I30" si="9">I4*$I$16</f>
        <v>0</v>
      </c>
      <c r="J21" s="462">
        <f t="shared" ref="J21:J30" si="10">J4*$J$16</f>
        <v>1492.4702709520266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23373.57826295948</v>
      </c>
    </row>
    <row r="22" spans="1:17">
      <c r="A22" s="461" t="s">
        <v>156</v>
      </c>
      <c r="B22" s="462">
        <f t="shared" ca="1" si="2"/>
        <v>2960.8461532136062</v>
      </c>
      <c r="C22" s="462">
        <f t="shared" ca="1" si="3"/>
        <v>0</v>
      </c>
      <c r="D22" s="462">
        <f t="shared" ca="1" si="4"/>
        <v>9958.32464856353</v>
      </c>
      <c r="E22" s="462">
        <f t="shared" si="5"/>
        <v>40.700150732443547</v>
      </c>
      <c r="F22" s="462">
        <f t="shared" ca="1" si="6"/>
        <v>973.90927064352491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13933.780223153106</v>
      </c>
    </row>
    <row r="23" spans="1:17">
      <c r="A23" s="461" t="s">
        <v>194</v>
      </c>
      <c r="B23" s="462">
        <f t="shared" ca="1" si="2"/>
        <v>191.27761280987892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191.27761280987892</v>
      </c>
    </row>
    <row r="24" spans="1:17">
      <c r="A24" s="461" t="s">
        <v>112</v>
      </c>
      <c r="B24" s="462">
        <f t="shared" ca="1" si="2"/>
        <v>815.91783307861658</v>
      </c>
      <c r="C24" s="462">
        <f t="shared" ca="1" si="3"/>
        <v>0</v>
      </c>
      <c r="D24" s="462">
        <f t="shared" si="4"/>
        <v>463.81704639174654</v>
      </c>
      <c r="E24" s="462">
        <f t="shared" si="5"/>
        <v>10.138224104745435</v>
      </c>
      <c r="F24" s="462">
        <f t="shared" si="6"/>
        <v>4130.7293614085675</v>
      </c>
      <c r="G24" s="462">
        <f t="shared" si="7"/>
        <v>0</v>
      </c>
      <c r="H24" s="462">
        <f t="shared" si="8"/>
        <v>0</v>
      </c>
      <c r="I24" s="462">
        <f t="shared" si="9"/>
        <v>0</v>
      </c>
      <c r="J24" s="462">
        <f t="shared" si="10"/>
        <v>207.60809146824431</v>
      </c>
      <c r="K24" s="462">
        <f t="shared" si="11"/>
        <v>0</v>
      </c>
      <c r="L24" s="462">
        <f t="shared" si="12"/>
        <v>0</v>
      </c>
      <c r="M24" s="462">
        <f t="shared" si="13"/>
        <v>0</v>
      </c>
      <c r="N24" s="462">
        <f t="shared" si="14"/>
        <v>0</v>
      </c>
      <c r="O24" s="462">
        <f t="shared" si="15"/>
        <v>0</v>
      </c>
      <c r="P24" s="463">
        <f t="shared" si="16"/>
        <v>0</v>
      </c>
      <c r="Q24" s="461">
        <f t="shared" ca="1" si="17"/>
        <v>5628.2105564519206</v>
      </c>
    </row>
    <row r="25" spans="1:17">
      <c r="A25" s="461" t="s">
        <v>685</v>
      </c>
      <c r="B25" s="462">
        <f t="shared" ca="1" si="2"/>
        <v>3347.7458151714095</v>
      </c>
      <c r="C25" s="462">
        <f t="shared" ca="1" si="3"/>
        <v>0</v>
      </c>
      <c r="D25" s="462">
        <f t="shared" si="4"/>
        <v>3544.3628037791354</v>
      </c>
      <c r="E25" s="462">
        <f t="shared" si="5"/>
        <v>35.285474119704155</v>
      </c>
      <c r="F25" s="462">
        <f t="shared" si="6"/>
        <v>2300.1327351963532</v>
      </c>
      <c r="G25" s="462">
        <f t="shared" si="7"/>
        <v>0</v>
      </c>
      <c r="H25" s="462">
        <f t="shared" si="8"/>
        <v>0</v>
      </c>
      <c r="I25" s="462">
        <f t="shared" si="9"/>
        <v>0</v>
      </c>
      <c r="J25" s="462">
        <f t="shared" si="10"/>
        <v>25.223818636886261</v>
      </c>
      <c r="K25" s="462">
        <f t="shared" si="11"/>
        <v>0</v>
      </c>
      <c r="L25" s="462">
        <f t="shared" si="12"/>
        <v>0</v>
      </c>
      <c r="M25" s="462">
        <f t="shared" si="13"/>
        <v>0</v>
      </c>
      <c r="N25" s="462">
        <f t="shared" si="14"/>
        <v>0</v>
      </c>
      <c r="O25" s="462">
        <f t="shared" si="15"/>
        <v>0</v>
      </c>
      <c r="P25" s="463">
        <f t="shared" si="16"/>
        <v>0</v>
      </c>
      <c r="Q25" s="461">
        <f t="shared" ca="1" si="17"/>
        <v>9252.7506469034888</v>
      </c>
    </row>
    <row r="26" spans="1:17" s="467" customFormat="1">
      <c r="A26" s="465" t="s">
        <v>579</v>
      </c>
      <c r="B26" s="823">
        <f t="shared" ca="1" si="2"/>
        <v>0.84564588126825824</v>
      </c>
      <c r="C26" s="466">
        <f t="shared" ca="1" si="3"/>
        <v>0</v>
      </c>
      <c r="D26" s="466">
        <f t="shared" si="4"/>
        <v>2.6824504325766592</v>
      </c>
      <c r="E26" s="466">
        <f t="shared" si="5"/>
        <v>203.84320181420506</v>
      </c>
      <c r="F26" s="466">
        <f t="shared" si="6"/>
        <v>0</v>
      </c>
      <c r="G26" s="466">
        <f t="shared" si="7"/>
        <v>55652.121540102846</v>
      </c>
      <c r="H26" s="466">
        <f t="shared" si="8"/>
        <v>7639.133555618293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63498.62639384919</v>
      </c>
    </row>
    <row r="27" spans="1:17">
      <c r="A27" s="461" t="s">
        <v>569</v>
      </c>
      <c r="B27" s="462">
        <f t="shared" ca="1" si="2"/>
        <v>0</v>
      </c>
      <c r="C27" s="462">
        <f t="shared" ca="1" si="3"/>
        <v>0</v>
      </c>
      <c r="D27" s="462">
        <f t="shared" si="4"/>
        <v>0</v>
      </c>
      <c r="E27" s="462">
        <f t="shared" si="5"/>
        <v>0</v>
      </c>
      <c r="F27" s="462">
        <f t="shared" si="6"/>
        <v>0</v>
      </c>
      <c r="G27" s="462">
        <f t="shared" si="7"/>
        <v>291.87240087545928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291.87240087545928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12658.747633026824</v>
      </c>
      <c r="C31" s="472">
        <f t="shared" ca="1" si="18"/>
        <v>0</v>
      </c>
      <c r="D31" s="472">
        <f t="shared" ca="1" si="18"/>
        <v>23552.343841326099</v>
      </c>
      <c r="E31" s="472">
        <f t="shared" si="18"/>
        <v>2299.9202973028105</v>
      </c>
      <c r="F31" s="472">
        <f t="shared" ca="1" si="18"/>
        <v>12350.654647693029</v>
      </c>
      <c r="G31" s="472">
        <f t="shared" si="18"/>
        <v>55943.993940978304</v>
      </c>
      <c r="H31" s="472">
        <f t="shared" si="18"/>
        <v>7639.133555618293</v>
      </c>
      <c r="I31" s="472">
        <f t="shared" si="18"/>
        <v>0</v>
      </c>
      <c r="J31" s="472">
        <f t="shared" si="18"/>
        <v>1725.3021810571572</v>
      </c>
      <c r="K31" s="472">
        <f t="shared" si="18"/>
        <v>0</v>
      </c>
      <c r="L31" s="472">
        <f t="shared" ca="1" si="18"/>
        <v>0</v>
      </c>
      <c r="M31" s="472">
        <f t="shared" si="18"/>
        <v>0</v>
      </c>
      <c r="N31" s="472">
        <f t="shared" ca="1" si="18"/>
        <v>0</v>
      </c>
      <c r="O31" s="472">
        <f t="shared" si="18"/>
        <v>0</v>
      </c>
      <c r="P31" s="473">
        <f t="shared" si="18"/>
        <v>0</v>
      </c>
      <c r="Q31" s="473">
        <f t="shared" ca="1" si="18"/>
        <v>116170.09609700253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0.17210448478670126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0.17210448478670126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0.17210448478670126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5970</v>
      </c>
      <c r="C9" s="338">
        <v>6296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4687</v>
      </c>
    </row>
    <row r="15" spans="1:6">
      <c r="A15" s="1205" t="s">
        <v>184</v>
      </c>
      <c r="B15" s="335">
        <v>253</v>
      </c>
    </row>
    <row r="16" spans="1:6">
      <c r="A16" s="1205" t="s">
        <v>6</v>
      </c>
      <c r="B16" s="335">
        <v>3687</v>
      </c>
    </row>
    <row r="17" spans="1:6">
      <c r="A17" s="1205" t="s">
        <v>7</v>
      </c>
      <c r="B17" s="335">
        <v>1459</v>
      </c>
    </row>
    <row r="18" spans="1:6">
      <c r="A18" s="1205" t="s">
        <v>8</v>
      </c>
      <c r="B18" s="335">
        <v>3188</v>
      </c>
    </row>
    <row r="19" spans="1:6">
      <c r="A19" s="1205" t="s">
        <v>9</v>
      </c>
      <c r="B19" s="335">
        <v>3156</v>
      </c>
    </row>
    <row r="20" spans="1:6">
      <c r="A20" s="1205" t="s">
        <v>10</v>
      </c>
      <c r="B20" s="335">
        <v>1983</v>
      </c>
    </row>
    <row r="21" spans="1:6">
      <c r="A21" s="1205" t="s">
        <v>11</v>
      </c>
      <c r="B21" s="335">
        <v>17650</v>
      </c>
    </row>
    <row r="22" spans="1:6">
      <c r="A22" s="1205" t="s">
        <v>12</v>
      </c>
      <c r="B22" s="335">
        <v>42482</v>
      </c>
    </row>
    <row r="23" spans="1:6">
      <c r="A23" s="1205" t="s">
        <v>13</v>
      </c>
      <c r="B23" s="335">
        <v>797</v>
      </c>
    </row>
    <row r="24" spans="1:6">
      <c r="A24" s="1205" t="s">
        <v>14</v>
      </c>
      <c r="B24" s="335">
        <v>26</v>
      </c>
    </row>
    <row r="25" spans="1:6">
      <c r="A25" s="1205" t="s">
        <v>15</v>
      </c>
      <c r="B25" s="335">
        <v>4276</v>
      </c>
    </row>
    <row r="26" spans="1:6">
      <c r="A26" s="1205" t="s">
        <v>16</v>
      </c>
      <c r="B26" s="335">
        <v>498</v>
      </c>
    </row>
    <row r="27" spans="1:6">
      <c r="A27" s="1205" t="s">
        <v>17</v>
      </c>
      <c r="B27" s="335">
        <v>4</v>
      </c>
    </row>
    <row r="28" spans="1:6" s="341" customFormat="1">
      <c r="A28" s="1206" t="s">
        <v>18</v>
      </c>
      <c r="B28" s="1206">
        <v>92266</v>
      </c>
    </row>
    <row r="29" spans="1:6">
      <c r="A29" s="1206" t="s">
        <v>873</v>
      </c>
      <c r="B29" s="1206">
        <v>235</v>
      </c>
      <c r="C29" s="341"/>
      <c r="D29" s="341"/>
      <c r="E29" s="341"/>
      <c r="F29" s="341"/>
    </row>
    <row r="30" spans="1:6">
      <c r="A30" s="1201" t="s">
        <v>874</v>
      </c>
      <c r="B30" s="1201">
        <v>47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4387.0423179276004</v>
      </c>
    </row>
    <row r="39" spans="1:6">
      <c r="A39" s="1205" t="s">
        <v>30</v>
      </c>
      <c r="B39" s="1205" t="s">
        <v>31</v>
      </c>
      <c r="C39" s="335">
        <v>3106</v>
      </c>
      <c r="D39" s="335">
        <v>52595754.715369098</v>
      </c>
      <c r="E39" s="335">
        <v>5594</v>
      </c>
      <c r="F39" s="335">
        <v>27747101.303208299</v>
      </c>
    </row>
    <row r="40" spans="1:6">
      <c r="A40" s="1205" t="s">
        <v>30</v>
      </c>
      <c r="B40" s="1205" t="s">
        <v>29</v>
      </c>
      <c r="C40" s="335">
        <v>0</v>
      </c>
      <c r="D40" s="335">
        <v>0</v>
      </c>
      <c r="E40" s="335">
        <v>0</v>
      </c>
      <c r="F40" s="335">
        <v>0</v>
      </c>
    </row>
    <row r="41" spans="1:6">
      <c r="A41" s="1205" t="s">
        <v>32</v>
      </c>
      <c r="B41" s="1205" t="s">
        <v>33</v>
      </c>
      <c r="C41" s="335">
        <v>43</v>
      </c>
      <c r="D41" s="335">
        <v>950968.043140464</v>
      </c>
      <c r="E41" s="335">
        <v>135</v>
      </c>
      <c r="F41" s="335">
        <v>8595118.6434729695</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5</v>
      </c>
      <c r="D44" s="335">
        <v>297308.09232513502</v>
      </c>
      <c r="E44" s="335">
        <v>16</v>
      </c>
      <c r="F44" s="335">
        <v>2487035.2635214599</v>
      </c>
    </row>
    <row r="45" spans="1:6">
      <c r="A45" s="1205" t="s">
        <v>32</v>
      </c>
      <c r="B45" s="1205" t="s">
        <v>37</v>
      </c>
      <c r="C45" s="335">
        <v>0</v>
      </c>
      <c r="D45" s="335">
        <v>0</v>
      </c>
      <c r="E45" s="335">
        <v>4</v>
      </c>
      <c r="F45" s="335">
        <v>9604.4545668999999</v>
      </c>
    </row>
    <row r="46" spans="1:6">
      <c r="A46" s="1205" t="s">
        <v>32</v>
      </c>
      <c r="B46" s="1205" t="s">
        <v>38</v>
      </c>
      <c r="C46" s="335">
        <v>0</v>
      </c>
      <c r="D46" s="335">
        <v>0</v>
      </c>
      <c r="E46" s="335">
        <v>0</v>
      </c>
      <c r="F46" s="335">
        <v>0</v>
      </c>
    </row>
    <row r="47" spans="1:6">
      <c r="A47" s="1205" t="s">
        <v>32</v>
      </c>
      <c r="B47" s="1205" t="s">
        <v>39</v>
      </c>
      <c r="C47" s="335">
        <v>0</v>
      </c>
      <c r="D47" s="335">
        <v>0</v>
      </c>
      <c r="E47" s="335">
        <v>4</v>
      </c>
      <c r="F47" s="335">
        <v>233206.03589069101</v>
      </c>
    </row>
    <row r="48" spans="1:6">
      <c r="A48" s="1205" t="s">
        <v>32</v>
      </c>
      <c r="B48" s="1205" t="s">
        <v>29</v>
      </c>
      <c r="C48" s="335">
        <v>35</v>
      </c>
      <c r="D48" s="335">
        <v>17244115.141260099</v>
      </c>
      <c r="E48" s="335">
        <v>37</v>
      </c>
      <c r="F48" s="335">
        <v>5883084.5488259001</v>
      </c>
    </row>
    <row r="49" spans="1:6">
      <c r="A49" s="1205" t="s">
        <v>32</v>
      </c>
      <c r="B49" s="1205" t="s">
        <v>40</v>
      </c>
      <c r="C49" s="335">
        <v>0</v>
      </c>
      <c r="D49" s="335">
        <v>0</v>
      </c>
      <c r="E49" s="335">
        <v>0</v>
      </c>
      <c r="F49" s="335">
        <v>0</v>
      </c>
    </row>
    <row r="50" spans="1:6">
      <c r="A50" s="1205" t="s">
        <v>32</v>
      </c>
      <c r="B50" s="1205" t="s">
        <v>41</v>
      </c>
      <c r="C50" s="335">
        <v>12</v>
      </c>
      <c r="D50" s="335">
        <v>960325.47910367395</v>
      </c>
      <c r="E50" s="335">
        <v>25</v>
      </c>
      <c r="F50" s="335">
        <v>2243773.1216970002</v>
      </c>
    </row>
    <row r="51" spans="1:6">
      <c r="A51" s="1205" t="s">
        <v>42</v>
      </c>
      <c r="B51" s="1205" t="s">
        <v>43</v>
      </c>
      <c r="C51" s="335">
        <v>12</v>
      </c>
      <c r="D51" s="335">
        <v>328597.04221928498</v>
      </c>
      <c r="E51" s="335">
        <v>215</v>
      </c>
      <c r="F51" s="335">
        <v>4725844.4422831303</v>
      </c>
    </row>
    <row r="52" spans="1:6">
      <c r="A52" s="1205" t="s">
        <v>42</v>
      </c>
      <c r="B52" s="1205" t="s">
        <v>29</v>
      </c>
      <c r="C52" s="335">
        <v>4</v>
      </c>
      <c r="D52" s="335">
        <v>73941.286919810096</v>
      </c>
      <c r="E52" s="335">
        <v>3</v>
      </c>
      <c r="F52" s="335">
        <v>14983.97999668</v>
      </c>
    </row>
    <row r="53" spans="1:6">
      <c r="A53" s="1205" t="s">
        <v>44</v>
      </c>
      <c r="B53" s="1205" t="s">
        <v>45</v>
      </c>
      <c r="C53" s="335">
        <v>81</v>
      </c>
      <c r="D53" s="335">
        <v>2143053.6797726001</v>
      </c>
      <c r="E53" s="335">
        <v>150</v>
      </c>
      <c r="F53" s="335">
        <v>1128451.81554922</v>
      </c>
    </row>
    <row r="54" spans="1:6">
      <c r="A54" s="1205" t="s">
        <v>46</v>
      </c>
      <c r="B54" s="1205" t="s">
        <v>47</v>
      </c>
      <c r="C54" s="335">
        <v>0</v>
      </c>
      <c r="D54" s="335">
        <v>0</v>
      </c>
      <c r="E54" s="335">
        <v>1</v>
      </c>
      <c r="F54" s="335">
        <v>1111404</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22</v>
      </c>
      <c r="D57" s="335">
        <v>24533586.904610202</v>
      </c>
      <c r="E57" s="335">
        <v>101</v>
      </c>
      <c r="F57" s="335">
        <v>2154220.8896596199</v>
      </c>
    </row>
    <row r="58" spans="1:6">
      <c r="A58" s="1205" t="s">
        <v>49</v>
      </c>
      <c r="B58" s="1205" t="s">
        <v>51</v>
      </c>
      <c r="C58" s="335">
        <v>32</v>
      </c>
      <c r="D58" s="335">
        <v>2909753.4262774601</v>
      </c>
      <c r="E58" s="335">
        <v>51</v>
      </c>
      <c r="F58" s="335">
        <v>902353.07996170595</v>
      </c>
    </row>
    <row r="59" spans="1:6">
      <c r="A59" s="1205" t="s">
        <v>49</v>
      </c>
      <c r="B59" s="1205" t="s">
        <v>52</v>
      </c>
      <c r="C59" s="335">
        <v>60</v>
      </c>
      <c r="D59" s="335">
        <v>2431214.1981604202</v>
      </c>
      <c r="E59" s="335">
        <v>158</v>
      </c>
      <c r="F59" s="335">
        <v>4890439.7277412396</v>
      </c>
    </row>
    <row r="60" spans="1:6">
      <c r="A60" s="1205" t="s">
        <v>49</v>
      </c>
      <c r="B60" s="1205" t="s">
        <v>53</v>
      </c>
      <c r="C60" s="335">
        <v>30</v>
      </c>
      <c r="D60" s="335">
        <v>1453862.11621266</v>
      </c>
      <c r="E60" s="335">
        <v>57</v>
      </c>
      <c r="F60" s="335">
        <v>1718678.4265954201</v>
      </c>
    </row>
    <row r="61" spans="1:6">
      <c r="A61" s="1205" t="s">
        <v>49</v>
      </c>
      <c r="B61" s="1205" t="s">
        <v>54</v>
      </c>
      <c r="C61" s="335">
        <v>62</v>
      </c>
      <c r="D61" s="335">
        <v>3719104.8301086798</v>
      </c>
      <c r="E61" s="335">
        <v>191</v>
      </c>
      <c r="F61" s="335">
        <v>2657580.2713311501</v>
      </c>
    </row>
    <row r="62" spans="1:6">
      <c r="A62" s="1205" t="s">
        <v>49</v>
      </c>
      <c r="B62" s="1205" t="s">
        <v>55</v>
      </c>
      <c r="C62" s="335">
        <v>4</v>
      </c>
      <c r="D62" s="335">
        <v>434206.33953246201</v>
      </c>
      <c r="E62" s="335">
        <v>11</v>
      </c>
      <c r="F62" s="335">
        <v>158960.38652928401</v>
      </c>
    </row>
    <row r="63" spans="1:6">
      <c r="A63" s="1205" t="s">
        <v>49</v>
      </c>
      <c r="B63" s="1205" t="s">
        <v>29</v>
      </c>
      <c r="C63" s="335">
        <v>89</v>
      </c>
      <c r="D63" s="335">
        <v>19173080.2494849</v>
      </c>
      <c r="E63" s="335">
        <v>102</v>
      </c>
      <c r="F63" s="335">
        <v>4721538.2697212799</v>
      </c>
    </row>
    <row r="64" spans="1:6">
      <c r="A64" s="1205" t="s">
        <v>56</v>
      </c>
      <c r="B64" s="1205" t="s">
        <v>57</v>
      </c>
      <c r="C64" s="335">
        <v>0</v>
      </c>
      <c r="D64" s="335">
        <v>0</v>
      </c>
      <c r="E64" s="335">
        <v>0</v>
      </c>
      <c r="F64" s="335">
        <v>0</v>
      </c>
    </row>
    <row r="65" spans="1:6">
      <c r="A65" s="1205" t="s">
        <v>56</v>
      </c>
      <c r="B65" s="1205" t="s">
        <v>29</v>
      </c>
      <c r="C65" s="335">
        <v>2</v>
      </c>
      <c r="D65" s="335">
        <v>31803.7932158851</v>
      </c>
      <c r="E65" s="335">
        <v>3</v>
      </c>
      <c r="F65" s="335">
        <v>12692.1864052784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87768.276732828002</v>
      </c>
      <c r="E68" s="335">
        <v>13</v>
      </c>
      <c r="F68" s="335">
        <v>135909.810165364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54935076</v>
      </c>
      <c r="E73" s="335">
        <v>61174193.821100205</v>
      </c>
    </row>
    <row r="74" spans="1:6">
      <c r="A74" s="1205" t="s">
        <v>64</v>
      </c>
      <c r="B74" s="1205" t="s">
        <v>772</v>
      </c>
      <c r="C74" s="1216" t="s">
        <v>766</v>
      </c>
      <c r="D74" s="335">
        <v>4867081.7811150281</v>
      </c>
      <c r="E74" s="335">
        <v>5357249.4102705019</v>
      </c>
    </row>
    <row r="75" spans="1:6">
      <c r="A75" s="1205" t="s">
        <v>65</v>
      </c>
      <c r="B75" s="1205" t="s">
        <v>771</v>
      </c>
      <c r="C75" s="1216" t="s">
        <v>767</v>
      </c>
      <c r="D75" s="335">
        <v>24606791</v>
      </c>
      <c r="E75" s="335">
        <v>28242453.161697369</v>
      </c>
    </row>
    <row r="76" spans="1:6">
      <c r="A76" s="1205" t="s">
        <v>65</v>
      </c>
      <c r="B76" s="1205" t="s">
        <v>772</v>
      </c>
      <c r="C76" s="1216" t="s">
        <v>768</v>
      </c>
      <c r="D76" s="335">
        <v>2478988.7811150281</v>
      </c>
      <c r="E76" s="335">
        <v>2746189.9428228862</v>
      </c>
    </row>
    <row r="77" spans="1:6">
      <c r="A77" s="1205" t="s">
        <v>66</v>
      </c>
      <c r="B77" s="1205" t="s">
        <v>771</v>
      </c>
      <c r="C77" s="1216" t="s">
        <v>769</v>
      </c>
      <c r="D77" s="335">
        <v>153992082</v>
      </c>
      <c r="E77" s="335">
        <v>167326892.57970315</v>
      </c>
    </row>
    <row r="78" spans="1:6">
      <c r="A78" s="1201" t="s">
        <v>66</v>
      </c>
      <c r="B78" s="1201" t="s">
        <v>772</v>
      </c>
      <c r="C78" s="1201" t="s">
        <v>770</v>
      </c>
      <c r="D78" s="1201">
        <v>26321914</v>
      </c>
      <c r="E78" s="1201">
        <v>28569659.349357504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300242.43776994426</v>
      </c>
      <c r="C83" s="335">
        <v>283383.32531882467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3292.8485243213354</v>
      </c>
    </row>
    <row r="92" spans="1:6">
      <c r="A92" s="1201" t="s">
        <v>69</v>
      </c>
      <c r="B92" s="338">
        <v>1905.9393515646666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1822</v>
      </c>
    </row>
    <row r="98" spans="1:6">
      <c r="A98" s="1205" t="s">
        <v>72</v>
      </c>
      <c r="B98" s="335">
        <v>0</v>
      </c>
    </row>
    <row r="99" spans="1:6">
      <c r="A99" s="1205" t="s">
        <v>73</v>
      </c>
      <c r="B99" s="335">
        <v>231</v>
      </c>
    </row>
    <row r="100" spans="1:6">
      <c r="A100" s="1205" t="s">
        <v>74</v>
      </c>
      <c r="B100" s="335">
        <v>578</v>
      </c>
    </row>
    <row r="101" spans="1:6">
      <c r="A101" s="1205" t="s">
        <v>75</v>
      </c>
      <c r="B101" s="335">
        <v>208</v>
      </c>
    </row>
    <row r="102" spans="1:6">
      <c r="A102" s="1205" t="s">
        <v>76</v>
      </c>
      <c r="B102" s="335">
        <v>118</v>
      </c>
    </row>
    <row r="103" spans="1:6">
      <c r="A103" s="1205" t="s">
        <v>77</v>
      </c>
      <c r="B103" s="335">
        <v>262</v>
      </c>
    </row>
    <row r="104" spans="1:6">
      <c r="A104" s="1205" t="s">
        <v>78</v>
      </c>
      <c r="B104" s="335">
        <v>2094</v>
      </c>
    </row>
    <row r="105" spans="1:6">
      <c r="A105" s="1201" t="s">
        <v>79</v>
      </c>
      <c r="B105" s="1201">
        <v>10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16</v>
      </c>
      <c r="C123" s="335">
        <v>19</v>
      </c>
    </row>
    <row r="124" spans="1:6">
      <c r="A124" s="1201" t="s">
        <v>89</v>
      </c>
      <c r="B124" s="335">
        <v>0</v>
      </c>
      <c r="C124" s="335">
        <v>3</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70</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73552.688930306031</v>
      </c>
      <c r="C3" s="44" t="s">
        <v>170</v>
      </c>
      <c r="D3" s="44"/>
      <c r="E3" s="157"/>
      <c r="F3" s="44"/>
      <c r="G3" s="44"/>
      <c r="H3" s="44"/>
      <c r="I3" s="44"/>
      <c r="J3" s="44"/>
      <c r="K3" s="97"/>
    </row>
    <row r="4" spans="1:11">
      <c r="A4" s="365" t="s">
        <v>171</v>
      </c>
      <c r="B4" s="50">
        <f>IF(ISERROR('SEAP template'!B69),0,'SEAP template'!B69)</f>
        <v>16273.287875886002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0.17210448478670126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15820.714285714286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1111.404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0.17210448478670126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191.27761280987892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B46*B57</f>
        <v>8854.419588245426</v>
      </c>
      <c r="F5" s="18">
        <f>B51*B62</f>
        <v>18523.907417395436</v>
      </c>
      <c r="G5" s="19"/>
      <c r="H5" s="18"/>
      <c r="I5" s="18"/>
      <c r="J5" s="18">
        <f>B50*B61+C50*C61</f>
        <v>4216.0177145537473</v>
      </c>
      <c r="K5" s="18"/>
      <c r="L5" s="18"/>
      <c r="M5" s="18"/>
      <c r="N5" s="18">
        <f>B48*B59+C48*C59</f>
        <v>25892.041104644679</v>
      </c>
      <c r="O5" s="18">
        <f>B69*B70*B71</f>
        <v>143.82666666666668</v>
      </c>
      <c r="P5" s="18">
        <f>B77*B78*B79/1000-B77*B78*B79/1000/B80</f>
        <v>438.5333333333333</v>
      </c>
    </row>
    <row r="6" spans="1:16">
      <c r="A6" s="17" t="s">
        <v>639</v>
      </c>
      <c r="B6" s="831">
        <f>kWh_PV_kleiner_dan_10kW</f>
        <v>3292.8485243213354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31039.949827529636</v>
      </c>
      <c r="C8" s="22">
        <f>C5</f>
        <v>0</v>
      </c>
      <c r="D8" s="22">
        <f>D5</f>
        <v>47441.370753262927</v>
      </c>
      <c r="E8" s="22">
        <f>E5</f>
        <v>8854.419588245426</v>
      </c>
      <c r="F8" s="22">
        <f>F5</f>
        <v>18523.907417395436</v>
      </c>
      <c r="G8" s="22"/>
      <c r="H8" s="22"/>
      <c r="I8" s="22"/>
      <c r="J8" s="22">
        <f>J5</f>
        <v>4216.0177145537473</v>
      </c>
      <c r="K8" s="22"/>
      <c r="L8" s="22">
        <f>L5</f>
        <v>0</v>
      </c>
      <c r="M8" s="22">
        <f>M5</f>
        <v>0</v>
      </c>
      <c r="N8" s="22">
        <f>N5</f>
        <v>25892.041104644679</v>
      </c>
      <c r="O8" s="22">
        <f>O5</f>
        <v>143.82666666666668</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0.17210448478670126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5342.1145728720448</v>
      </c>
      <c r="C12" s="24">
        <f ca="1">C10*C8</f>
        <v>0</v>
      </c>
      <c r="D12" s="24">
        <f>D8*D10</f>
        <v>9583.1568921591115</v>
      </c>
      <c r="E12" s="24">
        <f>E10*E8</f>
        <v>2009.9532465317118</v>
      </c>
      <c r="F12" s="24">
        <f>F10*F8</f>
        <v>4945.8832804445819</v>
      </c>
      <c r="G12" s="24"/>
      <c r="H12" s="24"/>
      <c r="I12" s="24"/>
      <c r="J12" s="24">
        <f>J10*J8</f>
        <v>1492.4702709520266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1822</v>
      </c>
      <c r="C18" s="169" t="s">
        <v>111</v>
      </c>
      <c r="D18" s="231"/>
      <c r="E18" s="16"/>
    </row>
    <row r="19" spans="1:7">
      <c r="A19" s="174" t="s">
        <v>72</v>
      </c>
      <c r="B19" s="38">
        <f>aantalw2001_ander</f>
        <v>0</v>
      </c>
      <c r="C19" s="169" t="s">
        <v>111</v>
      </c>
      <c r="D19" s="232"/>
      <c r="E19" s="16"/>
    </row>
    <row r="20" spans="1:7">
      <c r="A20" s="174" t="s">
        <v>73</v>
      </c>
      <c r="B20" s="38">
        <f>aantalw2001_propaan</f>
        <v>231</v>
      </c>
      <c r="C20" s="170">
        <f>IF(ISERROR(B20/SUM($B$20,$B$21,$B$22)*100),0,B20/SUM($B$20,$B$21,$B$22)*100)</f>
        <v>22.713864306784661</v>
      </c>
      <c r="D20" s="232"/>
      <c r="E20" s="16"/>
    </row>
    <row r="21" spans="1:7">
      <c r="A21" s="174" t="s">
        <v>74</v>
      </c>
      <c r="B21" s="38">
        <f>aantalw2001_elektriciteit</f>
        <v>578</v>
      </c>
      <c r="C21" s="170">
        <f>IF(ISERROR(B21/SUM($B$20,$B$21,$B$22)*100),0,B21/SUM($B$20,$B$21,$B$22)*100)</f>
        <v>56.83382497541789</v>
      </c>
      <c r="D21" s="232"/>
      <c r="E21" s="16"/>
    </row>
    <row r="22" spans="1:7">
      <c r="A22" s="174" t="s">
        <v>75</v>
      </c>
      <c r="B22" s="38">
        <f>aantalw2001_hout</f>
        <v>208</v>
      </c>
      <c r="C22" s="170">
        <f>IF(ISERROR(B22/SUM($B$20,$B$21,$B$22)*100),0,B22/SUM($B$20,$B$21,$B$22)*100)</f>
        <v>20.452310717797442</v>
      </c>
      <c r="D22" s="232"/>
      <c r="E22" s="16"/>
    </row>
    <row r="23" spans="1:7">
      <c r="A23" s="174" t="s">
        <v>76</v>
      </c>
      <c r="B23" s="38">
        <f>aantalw2001_niet_gespec</f>
        <v>118</v>
      </c>
      <c r="C23" s="169" t="s">
        <v>111</v>
      </c>
      <c r="D23" s="231"/>
      <c r="E23" s="16"/>
    </row>
    <row r="24" spans="1:7">
      <c r="A24" s="174" t="s">
        <v>77</v>
      </c>
      <c r="B24" s="38">
        <f>aantalw2001_steenkool</f>
        <v>262</v>
      </c>
      <c r="C24" s="169" t="s">
        <v>111</v>
      </c>
      <c r="D24" s="232"/>
      <c r="E24" s="16"/>
    </row>
    <row r="25" spans="1:7">
      <c r="A25" s="174" t="s">
        <v>78</v>
      </c>
      <c r="B25" s="38">
        <f>aantalw2001_stookolie</f>
        <v>2094</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5970</v>
      </c>
      <c r="C28" s="37"/>
      <c r="D28" s="231"/>
    </row>
    <row r="29" spans="1:7" s="16" customFormat="1">
      <c r="A29" s="233" t="s">
        <v>666</v>
      </c>
      <c r="B29" s="38">
        <f>SUM(HH_hh_gas_aantal,HH_rest_gas_aantal)</f>
        <v>3106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3106</v>
      </c>
      <c r="C32" s="170">
        <f>IF(ISERROR(B32/SUM($B$32,$B$34,$B$35,$B$36,$B$38,$B$39)*100),0,B32/SUM($B$32,$B$34,$B$35,$B$36,$B$38,$B$39)*100)</f>
        <v>52.228014124768798</v>
      </c>
      <c r="D32" s="236"/>
      <c r="G32" s="16"/>
    </row>
    <row r="33" spans="1:7">
      <c r="A33" s="174" t="s">
        <v>72</v>
      </c>
      <c r="B33" s="35" t="s">
        <v>111</v>
      </c>
      <c r="C33" s="170"/>
      <c r="D33" s="236"/>
      <c r="G33" s="16"/>
    </row>
    <row r="34" spans="1:7">
      <c r="A34" s="174" t="s">
        <v>73</v>
      </c>
      <c r="B34" s="34">
        <f>IF((($B$28-$B$32-$B$39-$B$77-$B$38)*C20/100)&lt;0,0,($B$28-$B$32-$B$39-$B$77-$B$38)*C20/100)</f>
        <v>401.80825958702076</v>
      </c>
      <c r="C34" s="170">
        <f>IF(ISERROR(B34/SUM($B$32,$B$34,$B$35,$B$36,$B$38,$B$39)*100),0,B34/SUM($B$32,$B$34,$B$35,$B$36,$B$38,$B$39)*100)</f>
        <v>6.7564866249709228</v>
      </c>
      <c r="D34" s="236"/>
      <c r="G34" s="16"/>
    </row>
    <row r="35" spans="1:7">
      <c r="A35" s="174" t="s">
        <v>74</v>
      </c>
      <c r="B35" s="34">
        <f>IF((($B$28-$B$32-$B$39-$B$77-$B$38)*C21/100)&lt;0,0,($B$28-$B$32-$B$39-$B$77-$B$38)*C21/100)</f>
        <v>1005.3903638151427</v>
      </c>
      <c r="C35" s="170">
        <f>IF(ISERROR(B35/SUM($B$32,$B$34,$B$35,$B$36,$B$38,$B$39)*100),0,B35/SUM($B$32,$B$34,$B$35,$B$36,$B$38,$B$39)*100)</f>
        <v>16.905840992351486</v>
      </c>
      <c r="D35" s="236"/>
      <c r="G35" s="16"/>
    </row>
    <row r="36" spans="1:7">
      <c r="A36" s="174" t="s">
        <v>75</v>
      </c>
      <c r="B36" s="34">
        <f>IF((($B$28-$B$32-$B$39-$B$77-$B$38)*C22/100)&lt;0,0,($B$28-$B$32-$B$39-$B$77-$B$38)*C22/100)</f>
        <v>361.80137659783679</v>
      </c>
      <c r="C36" s="170">
        <f>IF(ISERROR(B36/SUM($B$32,$B$34,$B$35,$B$36,$B$38,$B$39)*100),0,B36/SUM($B$32,$B$34,$B$35,$B$36,$B$38,$B$39)*100)</f>
        <v>6.0837628484586643</v>
      </c>
      <c r="D36" s="236"/>
      <c r="G36" s="16"/>
    </row>
    <row r="37" spans="1:7">
      <c r="A37" s="174" t="s">
        <v>76</v>
      </c>
      <c r="B37" s="35" t="s">
        <v>111</v>
      </c>
      <c r="C37" s="170"/>
      <c r="D37" s="176"/>
      <c r="G37" s="16"/>
    </row>
    <row r="38" spans="1:7">
      <c r="A38" s="174" t="s">
        <v>77</v>
      </c>
      <c r="B38" s="34">
        <f>IF((B24-(B29-B18)*0.1)&lt;0,0,B24-(B29-B18)*0.1)</f>
        <v>133.6</v>
      </c>
      <c r="C38" s="170">
        <f>IF(ISERROR(B38/SUM($B$32,$B$34,$B$35,$B$36,$B$38,$B$39)*100),0,B38/SUM($B$32,$B$34,$B$35,$B$36,$B$38,$B$39)*100)</f>
        <v>2.2465108458046075</v>
      </c>
      <c r="D38" s="237"/>
      <c r="G38" s="16"/>
    </row>
    <row r="39" spans="1:7">
      <c r="A39" s="174" t="s">
        <v>78</v>
      </c>
      <c r="B39" s="34">
        <f>IF((B25-(B29-B18))&lt;0,0,B25-(B29-B18)*0.9)</f>
        <v>938.39999999999986</v>
      </c>
      <c r="C39" s="170">
        <f>IF(ISERROR(B39/SUM($B$32,$B$34,$B$35,$B$36,$B$38,$B$39)*100),0,B39/SUM($B$32,$B$34,$B$35,$B$36,$B$38,$B$39)*100)</f>
        <v>15.779384563645532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3106</v>
      </c>
      <c r="C44" s="35" t="s">
        <v>111</v>
      </c>
      <c r="D44" s="177"/>
    </row>
    <row r="45" spans="1:7">
      <c r="A45" s="174" t="s">
        <v>72</v>
      </c>
      <c r="B45" s="34" t="str">
        <f t="shared" si="0"/>
        <v>-</v>
      </c>
      <c r="C45" s="35" t="s">
        <v>111</v>
      </c>
      <c r="D45" s="177"/>
    </row>
    <row r="46" spans="1:7">
      <c r="A46" s="174" t="s">
        <v>73</v>
      </c>
      <c r="B46" s="34">
        <f t="shared" si="0"/>
        <v>401.80825958702076</v>
      </c>
      <c r="C46" s="35" t="s">
        <v>111</v>
      </c>
      <c r="D46" s="177"/>
    </row>
    <row r="47" spans="1:7">
      <c r="A47" s="174" t="s">
        <v>74</v>
      </c>
      <c r="B47" s="34">
        <f t="shared" si="0"/>
        <v>1005.3903638151427</v>
      </c>
      <c r="C47" s="35" t="s">
        <v>111</v>
      </c>
      <c r="D47" s="177"/>
    </row>
    <row r="48" spans="1:7">
      <c r="A48" s="174" t="s">
        <v>75</v>
      </c>
      <c r="B48" s="34">
        <f t="shared" si="0"/>
        <v>361.80137659783679</v>
      </c>
      <c r="C48" s="34">
        <f>B48*10</f>
        <v>3618.0137659783677</v>
      </c>
      <c r="D48" s="237"/>
    </row>
    <row r="49" spans="1:6">
      <c r="A49" s="174" t="s">
        <v>76</v>
      </c>
      <c r="B49" s="34" t="str">
        <f t="shared" si="0"/>
        <v>-</v>
      </c>
      <c r="C49" s="35" t="s">
        <v>111</v>
      </c>
      <c r="D49" s="237"/>
    </row>
    <row r="50" spans="1:6">
      <c r="A50" s="174" t="s">
        <v>77</v>
      </c>
      <c r="B50" s="34">
        <f t="shared" si="0"/>
        <v>133.6</v>
      </c>
      <c r="C50" s="34">
        <f>B50*2</f>
        <v>267.2</v>
      </c>
      <c r="D50" s="237"/>
    </row>
    <row r="51" spans="1:6">
      <c r="A51" s="174" t="s">
        <v>78</v>
      </c>
      <c r="B51" s="34">
        <f t="shared" si="0"/>
        <v>938.39999999999986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0</v>
      </c>
      <c r="R5" s="33"/>
    </row>
    <row r="6" spans="1:18">
      <c r="A6" s="33" t="s">
        <v>54</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53</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52</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51</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50</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55</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260</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0.17210448478670126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2960.8461532136062</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2657.58027133115</v>
      </c>
      <c r="C26" s="40">
        <f>IF(ISERROR(B26*3.6/1000000/'E Balans VL '!Z12*100),0,B26*3.6/1000000/'E Balans VL '!Z12*100)</f>
        <v>5.6471674932473244E-2</v>
      </c>
      <c r="D26" s="240" t="s">
        <v>707</v>
      </c>
      <c r="F26" s="6"/>
    </row>
    <row r="27" spans="1:18">
      <c r="A27" s="234" t="s">
        <v>53</v>
      </c>
      <c r="B27" s="34">
        <f>IF(ISERROR(TER_horeca_ele_kWh/1000),0,TER_horeca_ele_kWh/1000)</f>
        <v>1718.6784265954202</v>
      </c>
      <c r="C27" s="40">
        <f>IF(ISERROR(B27*3.6/1000000/'E Balans VL '!Z9*100),0,B27*3.6/1000000/'E Balans VL '!Z9*100)</f>
        <v>0.13527328265569616</v>
      </c>
      <c r="D27" s="240" t="s">
        <v>707</v>
      </c>
      <c r="F27" s="6"/>
    </row>
    <row r="28" spans="1:18">
      <c r="A28" s="174" t="s">
        <v>52</v>
      </c>
      <c r="B28" s="34">
        <f>IF(ISERROR(TER_handel_ele_kWh/1000),0,TER_handel_ele_kWh/1000)</f>
        <v>4890.4397277412399</v>
      </c>
      <c r="C28" s="40">
        <f>IF(ISERROR(B28*3.6/1000000/'E Balans VL '!Z13*100),0,B28*3.6/1000000/'E Balans VL '!Z13*100)</f>
        <v>0.13698383403404574</v>
      </c>
      <c r="D28" s="240" t="s">
        <v>707</v>
      </c>
      <c r="F28" s="6"/>
    </row>
    <row r="29" spans="1:18">
      <c r="A29" s="234" t="s">
        <v>51</v>
      </c>
      <c r="B29" s="34">
        <f>IF(ISERROR(TER_gezond_ele_kWh/1000),0,TER_gezond_ele_kWh/1000)</f>
        <v>902.35307996170593</v>
      </c>
      <c r="C29" s="40">
        <f>IF(ISERROR(B29*3.6/1000000/'E Balans VL '!Z10*100),0,B29*3.6/1000000/'E Balans VL '!Z10*100)</f>
        <v>0.11543824498531083</v>
      </c>
      <c r="D29" s="240" t="s">
        <v>707</v>
      </c>
      <c r="F29" s="6"/>
    </row>
    <row r="30" spans="1:18">
      <c r="A30" s="234" t="s">
        <v>50</v>
      </c>
      <c r="B30" s="34">
        <f>IF(ISERROR(TER_ander_ele_kWh/1000),0,TER_ander_ele_kWh/1000)</f>
        <v>2154.2208896596198</v>
      </c>
      <c r="C30" s="40">
        <f>IF(ISERROR(B30*3.6/1000000/'E Balans VL '!Z14*100),0,B30*3.6/1000000/'E Balans VL '!Z14*100)</f>
        <v>0.16111757076423161</v>
      </c>
      <c r="D30" s="240" t="s">
        <v>707</v>
      </c>
      <c r="F30" s="6"/>
    </row>
    <row r="31" spans="1:18">
      <c r="A31" s="234" t="s">
        <v>55</v>
      </c>
      <c r="B31" s="34">
        <f>IF(ISERROR(TER_onderwijs_ele_kWh/1000),0,TER_onderwijs_ele_kWh/1000)</f>
        <v>158.96038652928399</v>
      </c>
      <c r="C31" s="40">
        <f>IF(ISERROR(B31*3.6/1000000/'E Balans VL '!Z11*100),0,B31*3.6/1000000/'E Balans VL '!Z11*100)</f>
        <v>3.3564691521989841E-2</v>
      </c>
      <c r="D31" s="240" t="s">
        <v>707</v>
      </c>
    </row>
    <row r="32" spans="1:18">
      <c r="A32" s="234" t="s">
        <v>260</v>
      </c>
      <c r="B32" s="34">
        <f>IF(ISERROR(TER_rest_ele_kWh/1000),0,TER_rest_ele_kWh/1000)</f>
        <v>4721.5382697212799</v>
      </c>
      <c r="C32" s="40">
        <f>IF(ISERROR(B32*3.6/1000000/'E Balans VL '!Z8*100),0,B32*3.6/1000000/'E Balans VL '!Z8*100)</f>
        <v>3.8895711510337452E-2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33</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41</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39</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0.17210448478670126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3347.7458151714095</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2487.0352635214599</v>
      </c>
      <c r="C30" s="40">
        <f>IF(ISERROR(B30*3.6/1000000/'E Balans VL '!Z18*100),0,B30*3.6/1000000/'E Balans VL '!Z18*100)</f>
        <v>0.13838688175284883</v>
      </c>
      <c r="D30" s="240" t="s">
        <v>707</v>
      </c>
    </row>
    <row r="31" spans="1:18">
      <c r="A31" s="6" t="s">
        <v>33</v>
      </c>
      <c r="B31" s="38">
        <f>IF( ISERROR(IND_ander_ele_kWh/1000),0,IND_ander_ele_kWh/1000)</f>
        <v>8595.1186434729698</v>
      </c>
      <c r="C31" s="40">
        <f>IF(ISERROR(B31*3.6/1000000/'E Balans VL '!Z19*100),0,B31*3.6/1000000/'E Balans VL '!Z19*100)</f>
        <v>0.39956449235161756</v>
      </c>
      <c r="D31" s="240" t="s">
        <v>707</v>
      </c>
    </row>
    <row r="32" spans="1:18">
      <c r="A32" s="174" t="s">
        <v>41</v>
      </c>
      <c r="B32" s="38">
        <f>IF( ISERROR(IND_voed_ele_kWh/1000),0,IND_voed_ele_kWh/1000)</f>
        <v>2243.7731216970001</v>
      </c>
      <c r="C32" s="40">
        <f>IF(ISERROR(B32*3.6/1000000/'E Balans VL '!Z20*100),0,B32*3.6/1000000/'E Balans VL '!Z20*100)</f>
        <v>7.9312848360259022E-2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9.6044545668999994</v>
      </c>
      <c r="C34" s="40">
        <f>IF(ISERROR(B34*3.6/1000000/'E Balans VL '!Z22*100),0,B34*3.6/1000000/'E Balans VL '!Z22*100)</f>
        <v>1.9302245314780798E-3</v>
      </c>
      <c r="D34" s="240" t="s">
        <v>707</v>
      </c>
    </row>
    <row r="35" spans="1:5">
      <c r="A35" s="174" t="s">
        <v>39</v>
      </c>
      <c r="B35" s="38">
        <f>IF( ISERROR(IND_papier_ele_kWh/1000),0,IND_papier_ele_kWh/1000)</f>
        <v>233.206035890691</v>
      </c>
      <c r="C35" s="40">
        <f>IF(ISERROR(B35*3.6/1000000/'E Balans VL '!Z22*100),0,B35*3.6/1000000/'E Balans VL '!Z22*100)</f>
        <v>4.6867837025987368E-2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5883.0845488259001</v>
      </c>
      <c r="C37" s="40">
        <f>IF(ISERROR(B37*3.6/1000000/'E Balans VL '!Z15*100),0,B37*3.6/1000000/'E Balans VL '!Z15*100)</f>
        <v>4.4425978973667499E-2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4740.8284222798102</v>
      </c>
      <c r="C5" s="18">
        <f>'Eigen informatie GS &amp; warmtenet'!B60</f>
        <v>0</v>
      </c>
      <c r="D5" s="31">
        <f>IF(ISERROR(SUM(LB_lb_gas_kWh,LB_rest_gas_kWh,onbekend_gas_kWh)/1000),0,SUM(LB_lb_gas_kWh,LB_rest_gas_kWh,onbekend_gas_kWh)/1000)*0.902</f>
        <v>2296.1239920383491</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502</v>
      </c>
      <c r="B6" s="18" t="s">
        <v>211</v>
      </c>
      <c r="C6" s="18">
        <f>'lokale energieproductie'!O91+'lokale energieproductie'!O60</f>
        <v>15820.714285714286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-31641.428571428572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4740.8284222798102</v>
      </c>
      <c r="C8" s="22">
        <f>C5+C6</f>
        <v>15820.714285714286</v>
      </c>
      <c r="D8" s="22">
        <f>MAX((D5+D6),0)</f>
        <v>2296.1239920383491</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0.17210448478670126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815.91783307861658</v>
      </c>
      <c r="C12" s="24">
        <f ca="1">C8*C10</f>
        <v>0</v>
      </c>
      <c r="D12" s="24">
        <f>D8*D10</f>
        <v>463.81704639174654</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0.64183241236018862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1119.5191576762923</v>
      </c>
      <c r="C26" s="250">
        <f>B26*'GWP N2O_CH4'!B5</f>
        <v>23509.902311202139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475.35472150951324</v>
      </c>
      <c r="C27" s="250">
        <f>B27*'GWP N2O_CH4'!B5</f>
        <v>9982.4491516997787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50">
        <f>B28*'GWP N2O_CH4'!B4</f>
        <v>4607.119435609573</v>
      </c>
      <c r="D28" s="51"/>
    </row>
    <row r="29" spans="1:4">
      <c r="A29" s="42" t="s">
        <v>277</v>
      </c>
      <c r="B29" s="250">
        <f>B34*'ha_N2O bodem landbouw'!B4</f>
        <v>25.850515071356369</v>
      </c>
      <c r="C29" s="250">
        <f>B29*'GWP N2O_CH4'!B4</f>
        <v>8013.6596721204742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6.9788252881538646E-3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1.7688819535055884E-5</v>
      </c>
      <c r="C5" s="447" t="s">
        <v>211</v>
      </c>
      <c r="D5" s="432">
        <f>SUM(D6:D11)</f>
        <v>4.7806047313247391E-5</v>
      </c>
      <c r="E5" s="432">
        <f>SUM(E6:E11)</f>
        <v>3.2327556234851905E-3</v>
      </c>
      <c r="F5" s="445" t="s">
        <v>211</v>
      </c>
      <c r="G5" s="432">
        <f>SUM(G6:G11)</f>
        <v>0.75036568368677981</v>
      </c>
      <c r="H5" s="432">
        <f>SUM(H6:H11)</f>
        <v>0.11044530441857774</v>
      </c>
      <c r="I5" s="447" t="s">
        <v>211</v>
      </c>
      <c r="J5" s="447" t="s">
        <v>211</v>
      </c>
      <c r="K5" s="447" t="s">
        <v>211</v>
      </c>
      <c r="L5" s="447" t="s">
        <v>211</v>
      </c>
      <c r="M5" s="432">
        <f>SUM(M6:M11)</f>
        <v>3.8466269132630238E-2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4.161008066148788E-6</v>
      </c>
      <c r="C6" s="433"/>
      <c r="D6" s="433">
        <f>vkm_2011_GW_PW*SUMIFS(TableVerdeelsleutelVkm[CNG],TableVerdeelsleutelVkm[Voertuigtype],"Lichte voertuigen")*SUMIFS(TableECFTransport[EnergieConsumptieFactor (PJ per km)],TableECFTransport[Index],CONCATENATE($A6,"_CNG_CNG"))</f>
        <v>1.0161251382380354E-5</v>
      </c>
      <c r="E6" s="435">
        <f>vkm_2011_GW_PW*SUMIFS(TableVerdeelsleutelVkm[LPG],TableVerdeelsleutelVkm[Voertuigtype],"Lichte voertuigen")*SUMIFS(TableECFTransport[EnergieConsumptieFactor (PJ per km)],TableECFTransport[Index],CONCATENATE($A6,"_LPG_LPG"))</f>
        <v>6.0230647001255236E-4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8.7070485458252495E-2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2.2818672749898232E-2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4.9210388778581984E-3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4.5251889754645065E-2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1.8257373293107994E-5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2.0159576877327814E-3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1.8638193170614234E-6</v>
      </c>
      <c r="C8" s="433"/>
      <c r="D8" s="435">
        <f>vkm_2011_NGW_PW*SUMIFS(TableVerdeelsleutelVkm[CNG],TableVerdeelsleutelVkm[Voertuigtype],"Lichte voertuigen")*SUMIFS(TableECFTransport[EnergieConsumptieFactor (PJ per km)],TableECFTransport[Index],CONCATENATE($A8,"_CNG_CNG"))</f>
        <v>8.1661248076971915E-6</v>
      </c>
      <c r="E8" s="435">
        <f>vkm_2011_NGW_PW*SUMIFS(TableVerdeelsleutelVkm[LPG],TableVerdeelsleutelVkm[Voertuigtype],"Lichte voertuigen")*SUMIFS(TableECFTransport[EnergieConsumptieFactor (PJ per km)],TableECFTransport[Index],CONCATENATE($A8,"_LPG_LPG"))</f>
        <v>4.4406336855154819E-4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6.0643657568641721E-2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1.7560709044070144E-2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3.503730336701543E-3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3.195415332818783E-2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1.122522974060806E-5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1.4234713976742891E-3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1.1663992151845671E-5</v>
      </c>
      <c r="C10" s="433"/>
      <c r="D10" s="435">
        <f>vkm_2011_SW_PW*SUMIFS(TableVerdeelsleutelVkm[CNG],TableVerdeelsleutelVkm[Voertuigtype],"Lichte voertuigen")*SUMIFS(TableECFTransport[EnergieConsumptieFactor (PJ per km)],TableECFTransport[Index],CONCATENATE($A10,"_CNG_CNG"))</f>
        <v>2.9478671123169849E-5</v>
      </c>
      <c r="E10" s="435">
        <f>vkm_2011_SW_PW*SUMIFS(TableVerdeelsleutelVkm[LPG],TableVerdeelsleutelVkm[Voertuigtype],"Lichte voertuigen")*SUMIFS(TableECFTransport[EnergieConsumptieFactor (PJ per km)],TableECFTransport[Index],CONCATENATE($A10,"_LPG_LPG"))</f>
        <v>2.1863857849210898E-3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0.28804409863464014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6.9934820021666302E-2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1.6025644951865356E-2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0.23740139894241252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1.0161999990935322E-4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1.0576425880798072E-2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4.9135609819599679</v>
      </c>
      <c r="C14" s="22"/>
      <c r="D14" s="22">
        <f t="shared" ref="D14:M14" si="0">((D5)*10^9/3600)+D12</f>
        <v>13.279457587013164</v>
      </c>
      <c r="E14" s="22">
        <f t="shared" si="0"/>
        <v>897.98767319033061</v>
      </c>
      <c r="F14" s="22"/>
      <c r="G14" s="22">
        <f t="shared" si="0"/>
        <v>208434.91213521664</v>
      </c>
      <c r="H14" s="22">
        <f t="shared" si="0"/>
        <v>30679.251227382701</v>
      </c>
      <c r="I14" s="22"/>
      <c r="J14" s="22"/>
      <c r="K14" s="22"/>
      <c r="L14" s="22"/>
      <c r="M14" s="22">
        <f t="shared" si="0"/>
        <v>10685.074759063955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0.17210448478670126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0.84564588126825824</v>
      </c>
      <c r="C18" s="24"/>
      <c r="D18" s="24">
        <f t="shared" ref="D18:M18" si="1">D14*D16</f>
        <v>2.6824504325766592</v>
      </c>
      <c r="E18" s="24">
        <f t="shared" si="1"/>
        <v>203.84320181420506</v>
      </c>
      <c r="F18" s="24"/>
      <c r="G18" s="24">
        <f t="shared" si="1"/>
        <v>55652.121540102846</v>
      </c>
      <c r="H18" s="24">
        <f t="shared" si="1"/>
        <v>7639.133555618293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3.9353582140511361E-3</v>
      </c>
      <c r="H50" s="323">
        <f t="shared" si="2"/>
        <v>0</v>
      </c>
      <c r="I50" s="323">
        <f t="shared" si="2"/>
        <v>0</v>
      </c>
      <c r="J50" s="323">
        <f t="shared" si="2"/>
        <v>0</v>
      </c>
      <c r="K50" s="323">
        <f t="shared" si="2"/>
        <v>0</v>
      </c>
      <c r="L50" s="323">
        <f t="shared" si="2"/>
        <v>0</v>
      </c>
      <c r="M50" s="323">
        <f t="shared" si="2"/>
        <v>1.7280807095842736E-4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3.9353582140511361E-3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1.7280807095842736E-4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1093.155059458649</v>
      </c>
      <c r="H54" s="22">
        <f t="shared" si="3"/>
        <v>0</v>
      </c>
      <c r="I54" s="22">
        <f t="shared" si="3"/>
        <v>0</v>
      </c>
      <c r="J54" s="22">
        <f t="shared" si="3"/>
        <v>0</v>
      </c>
      <c r="K54" s="22">
        <f t="shared" si="3"/>
        <v>0</v>
      </c>
      <c r="L54" s="22">
        <f t="shared" si="3"/>
        <v>0</v>
      </c>
      <c r="M54" s="22">
        <f t="shared" si="3"/>
        <v>48.002241932896489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0.17210448478670126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291.87240087545928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5198.7878758860024</v>
      </c>
      <c r="C6" s="1135"/>
      <c r="D6" s="1138"/>
      <c r="E6" s="1138"/>
      <c r="F6" s="1141"/>
      <c r="G6" s="1144"/>
      <c r="H6" s="1132"/>
      <c r="I6" s="1138"/>
      <c r="J6" s="1138"/>
      <c r="K6" s="1138"/>
      <c r="L6" s="1168"/>
      <c r="M6" s="560"/>
      <c r="N6" s="1180"/>
      <c r="O6" s="1181"/>
      <c r="Q6" s="558"/>
      <c r="R6" s="1165"/>
      <c r="S6" s="1165"/>
    </row>
    <row r="7" spans="1:19" s="548" customFormat="1">
      <c r="A7" s="561" t="s">
        <v>252</v>
      </c>
      <c r="B7" s="562">
        <f>N57</f>
        <v>11074.5</v>
      </c>
      <c r="C7" s="563">
        <f>B100</f>
        <v>0</v>
      </c>
      <c r="D7" s="564"/>
      <c r="E7" s="564">
        <f>E100</f>
        <v>0</v>
      </c>
      <c r="F7" s="565"/>
      <c r="G7" s="566"/>
      <c r="H7" s="564">
        <f>I100</f>
        <v>0</v>
      </c>
      <c r="I7" s="564">
        <f>G100+F100</f>
        <v>0</v>
      </c>
      <c r="J7" s="564">
        <f>H100+D100+C100</f>
        <v>13028.823529411764</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16273.287875886002</v>
      </c>
      <c r="C9" s="579">
        <f t="shared" ref="C9:L9" si="0">SUM(C7:C8)</f>
        <v>0</v>
      </c>
      <c r="D9" s="579">
        <f t="shared" si="0"/>
        <v>0</v>
      </c>
      <c r="E9" s="579">
        <f t="shared" si="0"/>
        <v>0</v>
      </c>
      <c r="F9" s="579">
        <f t="shared" si="0"/>
        <v>0</v>
      </c>
      <c r="G9" s="579">
        <f t="shared" si="0"/>
        <v>0</v>
      </c>
      <c r="H9" s="579">
        <f t="shared" si="0"/>
        <v>0</v>
      </c>
      <c r="I9" s="579">
        <f t="shared" si="0"/>
        <v>0</v>
      </c>
      <c r="J9" s="579">
        <f t="shared" si="0"/>
        <v>13028.823529411764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15820.714285714286</v>
      </c>
      <c r="C16" s="595">
        <f>B101</f>
        <v>0</v>
      </c>
      <c r="D16" s="596"/>
      <c r="E16" s="596">
        <f>E101</f>
        <v>0</v>
      </c>
      <c r="F16" s="597"/>
      <c r="G16" s="598"/>
      <c r="H16" s="595">
        <f>I101</f>
        <v>0</v>
      </c>
      <c r="I16" s="596">
        <f>G101+F101</f>
        <v>0</v>
      </c>
      <c r="J16" s="596">
        <f>H101+D101+C101</f>
        <v>18612.605042016807</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15820.714285714286</v>
      </c>
      <c r="C19" s="578">
        <f>SUM(C16:C18)</f>
        <v>0</v>
      </c>
      <c r="D19" s="578">
        <f t="shared" ref="D19:M19" si="1">SUM(D16:D18)</f>
        <v>0</v>
      </c>
      <c r="E19" s="578">
        <f t="shared" si="1"/>
        <v>0</v>
      </c>
      <c r="F19" s="578">
        <f t="shared" si="1"/>
        <v>0</v>
      </c>
      <c r="G19" s="578">
        <f t="shared" si="1"/>
        <v>0</v>
      </c>
      <c r="H19" s="578">
        <f t="shared" si="1"/>
        <v>0</v>
      </c>
      <c r="I19" s="578">
        <f t="shared" si="1"/>
        <v>0</v>
      </c>
      <c r="J19" s="578">
        <f t="shared" si="1"/>
        <v>18612.605042016807</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31003</v>
      </c>
      <c r="C27" s="840">
        <v>8730</v>
      </c>
      <c r="D27" s="657" t="s">
        <v>877</v>
      </c>
      <c r="E27" s="656" t="s">
        <v>878</v>
      </c>
      <c r="F27" s="656" t="s">
        <v>879</v>
      </c>
      <c r="G27" s="656" t="s">
        <v>880</v>
      </c>
      <c r="H27" s="656" t="s">
        <v>881</v>
      </c>
      <c r="I27" s="656" t="s">
        <v>878</v>
      </c>
      <c r="J27" s="839">
        <v>39280</v>
      </c>
      <c r="K27" s="839">
        <v>39280</v>
      </c>
      <c r="L27" s="656" t="s">
        <v>882</v>
      </c>
      <c r="M27" s="656">
        <v>2461</v>
      </c>
      <c r="N27" s="656">
        <v>11074.5</v>
      </c>
      <c r="O27" s="656">
        <v>15820.714285714286</v>
      </c>
      <c r="P27" s="656">
        <v>0</v>
      </c>
      <c r="Q27" s="656">
        <v>31641.428571428572</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2461</v>
      </c>
      <c r="N57" s="614">
        <f>SUM(N27:N56)</f>
        <v>11074.5</v>
      </c>
      <c r="O57" s="614">
        <f t="shared" ref="O57:W57" si="2">SUM(O27:O56)</f>
        <v>15820.714285714286</v>
      </c>
      <c r="P57" s="614">
        <f t="shared" si="2"/>
        <v>0</v>
      </c>
      <c r="Q57" s="614">
        <f t="shared" si="2"/>
        <v>31641.428571428572</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2461</v>
      </c>
      <c r="N60" s="619">
        <f t="shared" ref="N60:W60" si="4">SUMIF($Z$27:$Z$56,"landbouw",N27:N56)</f>
        <v>11074.5</v>
      </c>
      <c r="O60" s="619">
        <f t="shared" si="4"/>
        <v>15820.714285714286</v>
      </c>
      <c r="P60" s="619">
        <f t="shared" si="4"/>
        <v>0</v>
      </c>
      <c r="Q60" s="619">
        <f t="shared" si="4"/>
        <v>31641.428571428572</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13028.823529411764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18612.605042016807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2018-06-27T09:18:33Z</dcterms:modified>
</cp:coreProperties>
</file>