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D16" i="16" s="1"/>
  <c r="O58" i="18"/>
  <c r="N58"/>
  <c r="B16" i="16" s="1"/>
  <c r="M58" i="18"/>
  <c r="W57"/>
  <c r="V57"/>
  <c r="U57"/>
  <c r="T57"/>
  <c r="S57"/>
  <c r="R57"/>
  <c r="Q57"/>
  <c r="P57"/>
  <c r="O57"/>
  <c r="N57"/>
  <c r="B7" s="1"/>
  <c r="B67" i="14" s="1"/>
  <c r="M57" i="18"/>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K79" i="14" s="1"/>
  <c r="I17" i="18"/>
  <c r="H17"/>
  <c r="I79" i="14" s="1"/>
  <c r="G17" i="18"/>
  <c r="G19" s="1"/>
  <c r="F17"/>
  <c r="E17"/>
  <c r="D17"/>
  <c r="C17"/>
  <c r="B17"/>
  <c r="B16"/>
  <c r="B78" i="14" s="1"/>
  <c r="K11" i="18"/>
  <c r="J11"/>
  <c r="I11"/>
  <c r="H11"/>
  <c r="G11"/>
  <c r="F11"/>
  <c r="E11"/>
  <c r="D11"/>
  <c r="C11"/>
  <c r="L8"/>
  <c r="L9" s="1"/>
  <c r="K8"/>
  <c r="K9" s="1"/>
  <c r="J8"/>
  <c r="G8"/>
  <c r="G9" s="1"/>
  <c r="F8"/>
  <c r="F9" s="1"/>
  <c r="E8"/>
  <c r="F68" i="14" s="1"/>
  <c r="D8" i="18"/>
  <c r="D9" s="1"/>
  <c r="B8"/>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G79"/>
  <c r="E79"/>
  <c r="B79"/>
  <c r="M78"/>
  <c r="L78"/>
  <c r="H78"/>
  <c r="G78"/>
  <c r="E78"/>
  <c r="L68"/>
  <c r="H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B38" i="13" l="1"/>
  <c r="B50" s="1"/>
  <c r="E8" i="16"/>
  <c r="K19" i="18"/>
  <c r="B97"/>
  <c r="D101" s="1"/>
  <c r="C13" i="15"/>
  <c r="D12" i="22"/>
  <c r="E17" i="14"/>
  <c r="D13" i="48"/>
  <c r="D31" i="20"/>
  <c r="E43" i="14" s="1"/>
  <c r="E12" i="22"/>
  <c r="F17" i="14"/>
  <c r="E13" i="48"/>
  <c r="H101" i="18"/>
  <c r="G101"/>
  <c r="C101"/>
  <c r="I11" i="48"/>
  <c r="N19" i="19"/>
  <c r="O35" i="14" s="1"/>
  <c r="B6" i="48"/>
  <c r="Q6" s="1"/>
  <c r="B8" i="9"/>
  <c r="P22" i="16"/>
  <c r="Q39" i="14" s="1"/>
  <c r="P18" i="16"/>
  <c r="P8" i="48" s="1"/>
  <c r="P25" s="1"/>
  <c r="F8" i="17"/>
  <c r="F7" i="48" s="1"/>
  <c r="F24" s="1"/>
  <c r="K22" i="14"/>
  <c r="J8" i="17"/>
  <c r="O80" i="14"/>
  <c r="C97" i="18"/>
  <c r="I19" i="19"/>
  <c r="J35" i="14" s="1"/>
  <c r="B12" i="22"/>
  <c r="B13" i="48"/>
  <c r="C17" i="14"/>
  <c r="E31" i="20"/>
  <c r="F43" i="14" s="1"/>
  <c r="L16" i="16"/>
  <c r="L18" s="1"/>
  <c r="N6" i="17"/>
  <c r="N5" s="1"/>
  <c r="J9" i="14"/>
  <c r="J15" s="1"/>
  <c r="B81"/>
  <c r="D11" i="48"/>
  <c r="D14" i="15"/>
  <c r="F19" i="19"/>
  <c r="G35" i="14" s="1"/>
  <c r="L19" i="19"/>
  <c r="M35" i="14" s="1"/>
  <c r="E7" i="15"/>
  <c r="O5" i="16"/>
  <c r="O9" i="14"/>
  <c r="L11" i="48"/>
  <c r="L28" s="1"/>
  <c r="L12" i="13"/>
  <c r="M37" i="14" s="1"/>
  <c r="J7" i="15"/>
  <c r="B13" i="16"/>
  <c r="C35"/>
  <c r="C80" i="14"/>
  <c r="C16" i="15"/>
  <c r="D10" i="14" s="1"/>
  <c r="L6" i="17"/>
  <c r="N13" i="15"/>
  <c r="L13"/>
  <c r="L16" s="1"/>
  <c r="K5" i="48"/>
  <c r="K20" i="15"/>
  <c r="L36" i="14" s="1"/>
  <c r="F13" i="15"/>
  <c r="D13"/>
  <c r="G9" i="22"/>
  <c r="G7"/>
  <c r="G6"/>
  <c r="G8"/>
  <c r="G10"/>
  <c r="G11"/>
  <c r="M11"/>
  <c r="H8"/>
  <c r="M10"/>
  <c r="H10"/>
  <c r="H9"/>
  <c r="H11"/>
  <c r="H6"/>
  <c r="M6"/>
  <c r="H7"/>
  <c r="M8"/>
  <c r="M7"/>
  <c r="M9"/>
  <c r="B67"/>
  <c r="J18" i="14"/>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H69"/>
  <c r="J20"/>
  <c r="O20"/>
  <c r="L69"/>
  <c r="D5" i="15"/>
  <c r="B8"/>
  <c r="J8"/>
  <c r="F12"/>
  <c r="I20"/>
  <c r="J36" i="14" s="1"/>
  <c r="J41" s="1"/>
  <c r="B9" i="16"/>
  <c r="N9"/>
  <c r="D7" i="48"/>
  <c r="D24" s="1"/>
  <c r="E8" i="15"/>
  <c r="B10"/>
  <c r="E9" i="16"/>
  <c r="F12" i="17"/>
  <c r="G48" i="14" s="1"/>
  <c r="B6" i="15"/>
  <c r="N9"/>
  <c r="J10"/>
  <c r="D5" i="16"/>
  <c r="F10"/>
  <c r="J11"/>
  <c r="B15"/>
  <c r="F14"/>
  <c r="J6" i="15"/>
  <c r="F10"/>
  <c r="B12"/>
  <c r="J12"/>
  <c r="B7" i="16"/>
  <c r="E10"/>
  <c r="N14"/>
  <c r="N11"/>
  <c r="B9" i="18"/>
  <c r="N6" i="15"/>
  <c r="F9"/>
  <c r="N10"/>
  <c r="B8" i="16"/>
  <c r="J8"/>
  <c r="B10"/>
  <c r="E11"/>
  <c r="B14"/>
  <c r="E15"/>
  <c r="E7"/>
  <c r="J7"/>
  <c r="F7"/>
  <c r="N7"/>
  <c r="E9" i="15"/>
  <c r="N15" i="16"/>
  <c r="C34"/>
  <c r="Q13" i="14"/>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M16"/>
  <c r="M21" s="1"/>
  <c r="K29"/>
  <c r="B39" i="13"/>
  <c r="B51" s="1"/>
  <c r="F5" s="1"/>
  <c r="F8" s="1"/>
  <c r="G11" i="14" s="1"/>
  <c r="I21" i="48"/>
  <c r="K27"/>
  <c r="G29"/>
  <c r="O21"/>
  <c r="H24"/>
  <c r="L16"/>
  <c r="L27" s="1"/>
  <c r="H21"/>
  <c r="K24"/>
  <c r="K25"/>
  <c r="Q11" i="14"/>
  <c r="P12" i="13"/>
  <c r="Q37" i="14" s="1"/>
  <c r="P4" i="48"/>
  <c r="P21" s="1"/>
  <c r="D12" i="13"/>
  <c r="E37" i="14" s="1"/>
  <c r="D4" i="48"/>
  <c r="D21" s="1"/>
  <c r="E11" i="14"/>
  <c r="F23" i="48"/>
  <c r="J23"/>
  <c r="N23"/>
  <c r="N26"/>
  <c r="D28"/>
  <c r="H28"/>
  <c r="F30"/>
  <c r="J30"/>
  <c r="N30"/>
  <c r="K22"/>
  <c r="G23"/>
  <c r="K23"/>
  <c r="O23"/>
  <c r="G25"/>
  <c r="F26"/>
  <c r="J26"/>
  <c r="O26"/>
  <c r="F27"/>
  <c r="J27"/>
  <c r="I28"/>
  <c r="D29"/>
  <c r="H29"/>
  <c r="P29"/>
  <c r="K30"/>
  <c r="O30"/>
  <c r="C22" i="13"/>
  <c r="C21"/>
  <c r="C20"/>
  <c r="D23" i="48"/>
  <c r="H23"/>
  <c r="P23"/>
  <c r="H25"/>
  <c r="P26"/>
  <c r="F28"/>
  <c r="J28"/>
  <c r="N28"/>
  <c r="D30"/>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C68" s="1"/>
  <c r="G68"/>
  <c r="G69" s="1"/>
  <c r="K68"/>
  <c r="E81"/>
  <c r="M81"/>
  <c r="B19" i="18"/>
  <c r="F19"/>
  <c r="D11" i="14"/>
  <c r="C4" i="48"/>
  <c r="M8" i="18"/>
  <c r="M17"/>
  <c r="M18"/>
  <c r="D13" i="14"/>
  <c r="L8" i="17" l="1"/>
  <c r="L12" s="1"/>
  <c r="M48" i="14" s="1"/>
  <c r="L5" i="17"/>
  <c r="G22" i="14"/>
  <c r="F101" i="18"/>
  <c r="I16" s="1"/>
  <c r="L29" i="48"/>
  <c r="B101" i="18"/>
  <c r="C16" s="1"/>
  <c r="I101"/>
  <c r="H16" s="1"/>
  <c r="E101"/>
  <c r="E16" s="1"/>
  <c r="D8" i="48"/>
  <c r="D25" s="1"/>
  <c r="D18" i="16"/>
  <c r="D22" s="1"/>
  <c r="E39" i="14" s="1"/>
  <c r="L21" i="48"/>
  <c r="B14" i="22"/>
  <c r="B9" i="48" s="1"/>
  <c r="I17" i="14"/>
  <c r="H12" i="22"/>
  <c r="D16" i="15"/>
  <c r="D20" s="1"/>
  <c r="B35" i="13"/>
  <c r="N8" i="17"/>
  <c r="I100" i="18"/>
  <c r="H7" s="1"/>
  <c r="E100"/>
  <c r="E7" s="1"/>
  <c r="H100"/>
  <c r="D100"/>
  <c r="G100"/>
  <c r="I7" s="1"/>
  <c r="C100"/>
  <c r="J7" s="1"/>
  <c r="F100"/>
  <c r="B100"/>
  <c r="C7" s="1"/>
  <c r="G31" i="20"/>
  <c r="H43" i="14" s="1"/>
  <c r="G12" i="22"/>
  <c r="O79" i="14"/>
  <c r="C7" i="48"/>
  <c r="D22" i="14"/>
  <c r="M23" i="48"/>
  <c r="L30"/>
  <c r="L23"/>
  <c r="M28"/>
  <c r="M22"/>
  <c r="D14" i="22"/>
  <c r="D9" i="48" s="1"/>
  <c r="D26" s="1"/>
  <c r="N17" i="14"/>
  <c r="M12" i="22"/>
  <c r="B36" i="13"/>
  <c r="B48" s="1"/>
  <c r="C48" s="1"/>
  <c r="N5" s="1"/>
  <c r="N8" s="1"/>
  <c r="N4" i="48" s="1"/>
  <c r="N21" s="1"/>
  <c r="O68" i="14"/>
  <c r="C79"/>
  <c r="L22" i="16"/>
  <c r="M39" i="14" s="1"/>
  <c r="L8" i="48"/>
  <c r="L25" s="1"/>
  <c r="M13" i="14"/>
  <c r="E8" i="17"/>
  <c r="F22" i="14" s="1"/>
  <c r="J16" i="18"/>
  <c r="F19" i="14"/>
  <c r="E14" i="22"/>
  <c r="K14" i="48"/>
  <c r="B34" i="13"/>
  <c r="O18" i="16"/>
  <c r="M13" i="48"/>
  <c r="M51" i="22"/>
  <c r="M50" s="1"/>
  <c r="M54" s="1"/>
  <c r="M10" i="48" s="1"/>
  <c r="M27" s="1"/>
  <c r="H31" i="20"/>
  <c r="I43" i="14" s="1"/>
  <c r="H13" i="48"/>
  <c r="H30" s="1"/>
  <c r="M31" i="20"/>
  <c r="N43" i="14" s="1"/>
  <c r="G50" i="22"/>
  <c r="G54" s="1"/>
  <c r="H18" i="14" s="1"/>
  <c r="G13" i="48"/>
  <c r="F20" i="14"/>
  <c r="H17"/>
  <c r="G30" i="48"/>
  <c r="M5" i="22"/>
  <c r="M14" s="1"/>
  <c r="G5"/>
  <c r="G14" s="1"/>
  <c r="H5"/>
  <c r="H14" s="1"/>
  <c r="I14" i="48"/>
  <c r="E5" i="15"/>
  <c r="O20"/>
  <c r="P36" i="14" s="1"/>
  <c r="P10"/>
  <c r="P20" i="15"/>
  <c r="Q36" i="14" s="1"/>
  <c r="Q41" s="1"/>
  <c r="Q53" s="1"/>
  <c r="Q10"/>
  <c r="Q15" s="1"/>
  <c r="Q23" s="1"/>
  <c r="J5" i="15"/>
  <c r="F4" i="48"/>
  <c r="F21" s="1"/>
  <c r="B69" i="14"/>
  <c r="B4" i="6" s="1"/>
  <c r="D15" i="14"/>
  <c r="J23"/>
  <c r="L53"/>
  <c r="L23"/>
  <c r="J53"/>
  <c r="F5" i="15"/>
  <c r="F16" s="1"/>
  <c r="B5"/>
  <c r="B16" s="1"/>
  <c r="E13" i="14"/>
  <c r="B5" i="16"/>
  <c r="B18" s="1"/>
  <c r="C13" i="14" s="1"/>
  <c r="N5" i="15"/>
  <c r="N16" s="1"/>
  <c r="F12" i="13"/>
  <c r="G37" i="14" s="1"/>
  <c r="P5" i="48"/>
  <c r="P22" s="1"/>
  <c r="P31" s="1"/>
  <c r="F13" i="16"/>
  <c r="E13"/>
  <c r="N13"/>
  <c r="J13"/>
  <c r="B47" i="13"/>
  <c r="E9" i="48"/>
  <c r="E26" s="1"/>
  <c r="N12" i="16"/>
  <c r="J12"/>
  <c r="F12"/>
  <c r="E12"/>
  <c r="Q11" i="48"/>
  <c r="O5"/>
  <c r="R9" i="14"/>
  <c r="E18" i="22"/>
  <c r="F45" i="14" s="1"/>
  <c r="F46" s="1"/>
  <c r="O28" i="48"/>
  <c r="H22"/>
  <c r="B46" i="13"/>
  <c r="E5" s="1"/>
  <c r="E8" s="1"/>
  <c r="E12" s="1"/>
  <c r="F37" i="14" s="1"/>
  <c r="K31" i="48"/>
  <c r="L26"/>
  <c r="M30"/>
  <c r="M29"/>
  <c r="M25"/>
  <c r="M24"/>
  <c r="I31"/>
  <c r="C50" i="13"/>
  <c r="J5" s="1"/>
  <c r="J8" s="1"/>
  <c r="E7" i="48"/>
  <c r="E24" s="1"/>
  <c r="E12" i="17"/>
  <c r="F48" i="14" s="1"/>
  <c r="C5" i="48"/>
  <c r="J78" i="14" l="1"/>
  <c r="J81" s="1"/>
  <c r="I19" i="18"/>
  <c r="D78" i="14"/>
  <c r="C19" i="18"/>
  <c r="I78" i="14"/>
  <c r="I81" s="1"/>
  <c r="H19" i="18"/>
  <c r="F78" i="14"/>
  <c r="F81" s="1"/>
  <c r="E19" i="18"/>
  <c r="M22" i="14"/>
  <c r="L7" i="48"/>
  <c r="L24" s="1"/>
  <c r="C19" i="14"/>
  <c r="C20" s="1"/>
  <c r="R17"/>
  <c r="C14" i="48"/>
  <c r="D18" i="22"/>
  <c r="E45" i="14" s="1"/>
  <c r="E46" s="1"/>
  <c r="E19"/>
  <c r="E20" s="1"/>
  <c r="E10"/>
  <c r="E15" s="1"/>
  <c r="D5" i="48"/>
  <c r="D22" s="1"/>
  <c r="D31" s="1"/>
  <c r="J16" i="15"/>
  <c r="K10" i="14" s="1"/>
  <c r="C9" i="18"/>
  <c r="M7"/>
  <c r="M9" s="1"/>
  <c r="D67" i="14"/>
  <c r="N7" i="48"/>
  <c r="N24" s="1"/>
  <c r="N12" i="17"/>
  <c r="O48" i="14" s="1"/>
  <c r="K78"/>
  <c r="M16" i="18"/>
  <c r="M19" s="1"/>
  <c r="J19"/>
  <c r="O22" i="14"/>
  <c r="P15"/>
  <c r="P23" s="1"/>
  <c r="O8" i="48"/>
  <c r="O25" s="1"/>
  <c r="P13" i="14"/>
  <c r="K67"/>
  <c r="K69" s="1"/>
  <c r="J9" i="18"/>
  <c r="F67" i="14"/>
  <c r="F69" s="1"/>
  <c r="E9" i="18"/>
  <c r="E16" i="15"/>
  <c r="F10" i="14" s="1"/>
  <c r="O22" i="16"/>
  <c r="P39" i="14" s="1"/>
  <c r="P41" s="1"/>
  <c r="P53" s="1"/>
  <c r="P55" s="1"/>
  <c r="J67"/>
  <c r="I9" i="18"/>
  <c r="I67" i="14"/>
  <c r="I69" s="1"/>
  <c r="H9" i="18"/>
  <c r="Q13" i="48"/>
  <c r="G18" i="22"/>
  <c r="H45" i="14" s="1"/>
  <c r="G58" i="22"/>
  <c r="H44" i="14" s="1"/>
  <c r="M58" i="22"/>
  <c r="N44" i="14" s="1"/>
  <c r="G10" i="48"/>
  <c r="G27" s="1"/>
  <c r="N18" i="14"/>
  <c r="R18" s="1"/>
  <c r="M18" i="22"/>
  <c r="N45" i="14" s="1"/>
  <c r="H18" i="22"/>
  <c r="I45" i="14" s="1"/>
  <c r="I46" s="1"/>
  <c r="I53" s="1"/>
  <c r="I19"/>
  <c r="I20" s="1"/>
  <c r="I23" s="1"/>
  <c r="H9" i="48"/>
  <c r="E5"/>
  <c r="E22" s="1"/>
  <c r="P14"/>
  <c r="B8"/>
  <c r="J55" i="14"/>
  <c r="L55"/>
  <c r="E36"/>
  <c r="E41" s="1"/>
  <c r="N20" i="15"/>
  <c r="O36" i="14" s="1"/>
  <c r="O10"/>
  <c r="L5" i="48"/>
  <c r="L22" s="1"/>
  <c r="M10" i="14"/>
  <c r="M15" s="1"/>
  <c r="F20" i="15"/>
  <c r="G36" i="14" s="1"/>
  <c r="G10"/>
  <c r="C10"/>
  <c r="B5" i="48"/>
  <c r="B14" s="1"/>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O78" i="14" l="1"/>
  <c r="O81" s="1"/>
  <c r="B17" i="6" s="1"/>
  <c r="D81" i="14"/>
  <c r="R22"/>
  <c r="Q7" i="48"/>
  <c r="L31"/>
  <c r="J5"/>
  <c r="J22" s="1"/>
  <c r="J20" i="15"/>
  <c r="K36" i="14" s="1"/>
  <c r="N46"/>
  <c r="N53" s="1"/>
  <c r="E23"/>
  <c r="D14" i="48"/>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Q9" s="1"/>
  <c r="I55" i="14"/>
  <c r="H26" i="48"/>
  <c r="H31" s="1"/>
  <c r="H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F22" i="16"/>
  <c r="G39" i="14" s="1"/>
  <c r="G41" s="1"/>
  <c r="N22" i="16"/>
  <c r="O39" i="14" s="1"/>
  <c r="O41" s="1"/>
  <c r="F8" i="48"/>
  <c r="Q4"/>
  <c r="N22"/>
  <c r="R11" i="14"/>
  <c r="J21" i="48"/>
  <c r="J31" s="1"/>
  <c r="R10" i="14"/>
  <c r="K13" l="1"/>
  <c r="K15" s="1"/>
  <c r="K23" s="1"/>
  <c r="E55"/>
  <c r="J14" i="48"/>
  <c r="O13" i="14"/>
  <c r="O15" s="1"/>
  <c r="E25" i="48"/>
  <c r="E31" s="1"/>
  <c r="E14"/>
  <c r="N25"/>
  <c r="N14"/>
  <c r="E22" i="16"/>
  <c r="F39" i="14" s="1"/>
  <c r="F41" s="1"/>
  <c r="F53" s="1"/>
  <c r="F55" s="1"/>
  <c r="J22" i="16"/>
  <c r="K39" i="14" s="1"/>
  <c r="K41" s="1"/>
  <c r="K53" s="1"/>
  <c r="Q8" i="48"/>
  <c r="Q14" s="1"/>
  <c r="N31"/>
  <c r="F13" i="14"/>
  <c r="F15" s="1"/>
  <c r="F23" s="1"/>
  <c r="G14" i="48"/>
  <c r="H55" i="14"/>
  <c r="M14" i="48"/>
  <c r="R19" i="14"/>
  <c r="R20" s="1"/>
  <c r="M26" i="48"/>
  <c r="M31" s="1"/>
  <c r="O53" i="14"/>
  <c r="G53"/>
  <c r="G55" s="1"/>
  <c r="O69" s="1"/>
  <c r="B9" i="6" s="1"/>
  <c r="B12" s="1"/>
  <c r="M53" i="14"/>
  <c r="M55" s="1"/>
  <c r="C12" i="13"/>
  <c r="D37" i="14" s="1"/>
  <c r="D41" s="1"/>
  <c r="C23" i="48"/>
  <c r="C24"/>
  <c r="C27"/>
  <c r="C28"/>
  <c r="C22"/>
  <c r="C25"/>
  <c r="C29"/>
  <c r="C21"/>
  <c r="C26"/>
  <c r="K55" i="14"/>
  <c r="F25" i="48"/>
  <c r="F31" s="1"/>
  <c r="F14"/>
  <c r="R13" i="14" l="1"/>
  <c r="R15" s="1"/>
  <c r="R23" s="1"/>
  <c r="B18" i="15"/>
  <c r="B20" s="1"/>
  <c r="B10" i="17"/>
  <c r="B12" s="1"/>
  <c r="C48" i="14" s="1"/>
  <c r="R48" s="1"/>
  <c r="B17" i="49"/>
  <c r="B19" s="1"/>
  <c r="C38" i="14" s="1"/>
  <c r="R38" s="1"/>
  <c r="B10" i="13"/>
  <c r="B12" s="1"/>
  <c r="C37" i="14" s="1"/>
  <c r="B20" i="16"/>
  <c r="B22" s="1"/>
  <c r="C39" i="14" s="1"/>
  <c r="R39" s="1"/>
  <c r="B10" i="9"/>
  <c r="B12" s="1"/>
  <c r="B29" i="20"/>
  <c r="B31" s="1"/>
  <c r="C43" i="14" s="1"/>
  <c r="R43" s="1"/>
  <c r="B56" i="22"/>
  <c r="B58" s="1"/>
  <c r="C44" i="14" s="1"/>
  <c r="R44" s="1"/>
  <c r="B16" i="22"/>
  <c r="B18" s="1"/>
  <c r="C45" i="14" s="1"/>
  <c r="R45" s="1"/>
  <c r="B17" i="19"/>
  <c r="B19" s="1"/>
  <c r="C35" i="14" s="1"/>
  <c r="R35" s="1"/>
  <c r="R37"/>
  <c r="D53"/>
  <c r="D55" s="1"/>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<sst xmlns="http://schemas.openxmlformats.org/spreadsheetml/2006/main" count="2027" uniqueCount="884">
  <si>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</si>
  <si>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</si>
  <si>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</si>
  <si>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</si>
  <si>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</si>
  <si>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</si>
  <si>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</si>
  <si>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</si>
  <si>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</si>
  <si>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</si>
  <si>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</si>
  <si>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</si>
  <si>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</si>
  <si>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</si>
  <si>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</si>
  <si>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</si>
  <si>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</si>
  <si>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</si>
  <si>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</si>
  <si>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</si>
  <si>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</si>
  <si>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</si>
  <si>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</si>
  <si>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</si>
  <si>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</si>
  <si>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</si>
  <si>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</si>
  <si>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</si>
  <si>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</si>
  <si>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</si>
  <si>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</si>
  <si>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</si>
  <si>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</si>
  <si>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</si>
  <si>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</si>
  <si>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</si>
  <si>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</si>
  <si>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</si>
  <si>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</si>
  <si>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</si>
  <si>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</si>
  <si>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</si>
  <si>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</si>
  <si>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</si>
  <si>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</si>
  <si>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</si>
  <si>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</si>
  <si>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</si>
  <si>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</si>
  <si>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</si>
  <si>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</si>
  <si>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</si>
  <si>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</si>
  <si>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</si>
  <si>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</si>
  <si>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</si>
  <si>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</si>
  <si>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</si>
  <si>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</si>
  <si>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</si>
  <si>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</si>
  <si>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</si>
  <si>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</si>
  <si>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</si>
  <si>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</si>
  <si>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</si>
  <si>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</si>
  <si>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</si>
  <si>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</si>
  <si>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</si>
  <si>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</si>
  <si>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</si>
  <si>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</si>
  <si>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</si>
  <si>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</si>
  <si>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</si>
  <si>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</si>
  <si>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</si>
  <si>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</si>
  <si>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</si>
  <si>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</si>
  <si>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</si>
  <si>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</si>
  <si>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</si>
  <si>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</si>
  <si>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</si>
  <si>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</si>
  <si>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</si>
  <si>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</si>
  <si>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</si>
  <si>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</si>
  <si>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</si>
  <si>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</si>
  <si>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</si>
  <si>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</si>
  <si>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</si>
  <si>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</si>
  <si>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</si>
  <si>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</si>
  <si>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</si>
  <si>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</si>
  <si>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</si>
  <si>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</si>
  <si>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</si>
  <si>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</si>
  <si>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</si>
  <si>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</si>
  <si>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</si>
  <si>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</si>
  <si>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</si>
  <si>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</si>
  <si>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</si>
  <si>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</si>
  <si>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</si>
  <si>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</si>
  <si>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</si>
  <si>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</si>
  <si>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</si>
  <si>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</si>
  <si>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</si>
  <si>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</si>
  <si>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</si>
  <si>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</si>
  <si>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</si>
  <si>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</si>
  <si>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</si>
  <si>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</si>
  <si>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</si>
  <si>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</si>
  <si>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</si>
  <si>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</si>
  <si>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</si>
  <si>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</si>
  <si>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</si>
  <si>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</si>
  <si>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</si>
  <si>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</si>
  <si>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</si>
  <si>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</si>
  <si>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</si>
  <si>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</si>
  <si>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</si>
  <si>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</si>
  <si>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</si>
  <si>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</si>
  <si>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</si>
  <si>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</si>
  <si>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</si>
  <si>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</si>
  <si>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</si>
  <si>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</si>
  <si>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</si>
  <si>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</si>
  <si>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</si>
  <si>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</si>
  <si>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</si>
  <si>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</si>
  <si>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</si>
  <si>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</si>
  <si>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</si>
  <si>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</si>
  <si>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</si>
  <si>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</si>
  <si>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</si>
  <si>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</si>
  <si>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</si>
  <si>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</si>
  <si>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</si>
  <si>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</si>
  <si>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</si>
  <si>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</si>
  <si>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</si>
  <si>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</si>
  <si>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</si>
  <si>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</si>
  <si>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</si>
  <si>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</si>
  <si>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</si>
  <si>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</si>
  <si>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</si>
  <si>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</si>
  <si>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</si>
  <si>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</si>
  <si>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</si>
  <si>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</si>
  <si>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</si>
  <si>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</si>
  <si>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</si>
  <si>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</si>
  <si>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</si>
  <si>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</si>
  <si>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</si>
  <si>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</si>
  <si>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</si>
  <si>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</si>
  <si>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</si>
  <si>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</si>
  <si>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</si>
  <si>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</si>
  <si>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</si>
  <si>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</si>
  <si>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</si>
  <si>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</si>
  <si>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</si>
  <si>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</si>
  <si>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</si>
  <si>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</si>
  <si>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</si>
  <si>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</si>
  <si>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</si>
  <si>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</si>
  <si>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</si>
  <si>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</si>
  <si>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</si>
  <si>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</si>
  <si>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</si>
  <si>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</si>
  <si>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</si>
  <si>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</si>
  <si>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</si>
  <si>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</si>
  <si>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</si>
  <si>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</si>
  <si>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</si>
  <si>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</si>
  <si>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</si>
  <si>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</si>
  <si>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</si>
  <si>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</si>
  <si>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</si>
  <si>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</si>
  <si>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</si>
  <si>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</si>
  <si>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</si>
  <si>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</si>
  <si>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</si>
  <si>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</si>
  <si>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</si>
  <si>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</si>
  <si>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</si>
  <si>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</si>
  <si>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</si>
  <si>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</si>
  <si>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</si>
  <si>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</si>
  <si>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</si>
  <si>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</si>
  <si>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</si>
  <si>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</si>
  <si>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</si>
  <si>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</si>
  <si>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</si>
  <si>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</si>
  <si>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</si>
  <si>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</si>
  <si>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</si>
  <si>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</si>
  <si>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</si>
  <si>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</si>
  <si>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</si>
  <si>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</si>
  <si>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</si>
  <si>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</si>
  <si>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</si>
  <si>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</si>
  <si>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</si>
  <si>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</si>
  <si>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</si>
  <si>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</si>
  <si>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</si>
  <si>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</si>
  <si>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</si>
  <si>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</si>
  <si>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</si>
  <si>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</si>
  <si>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</si>
  <si>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</si>
  <si>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</si>
  <si>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</si>
  <si>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</si>
  <si>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</si>
  <si>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</si>
  <si>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</si>
  <si>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</si>
  <si>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</si>
  <si>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</si>
  <si>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</si>
  <si>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</si>
  <si>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</si>
  <si>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</si>
  <si>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</si>
  <si>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</si>
  <si>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</si>
  <si>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</si>
  <si>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</si>
  <si>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</si>
  <si>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</si>
  <si>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</si>
  <si>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</si>
  <si>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</si>
  <si>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</si>
  <si>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</si>
  <si>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</si>
  <si>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</si>
  <si>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</si>
  <si>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</si>
  <si>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</si>
  <si>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</si>
  <si>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</si>
  <si>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</si>
  <si>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</si>
  <si>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</si>
  <si>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</si>
  <si>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</si>
  <si>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</si>
  <si>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</si>
  <si>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</si>
  <si>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</si>
  <si>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</si>
  <si>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</si>
  <si>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</si>
  <si>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</si>
  <si>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</si>
  <si>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</si>
  <si>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</si>
  <si>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</si>
  <si>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</si>
  <si>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</si>
  <si>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</si>
  <si>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</si>
  <si>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</si>
  <si>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</si>
  <si>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</si>
  <si>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</si>
  <si>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</si>
  <si>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</si>
  <si>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</si>
  <si>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</si>
  <si>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</si>
  <si>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</si>
  <si>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</si>
  <si>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</si>
  <si>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</si>
  <si>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</si>
  <si>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</si>
  <si>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</si>
  <si>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</si>
  <si>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</si>
  <si>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</si>
  <si>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</si>
  <si>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</si>
  <si>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</si>
  <si>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</si>
  <si>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</si>
  <si>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</si>
  <si>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</si>
  <si>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</si>
  <si>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</si>
  <si>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</si>
  <si>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</si>
  <si>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</si>
  <si>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</si>
  <si>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</si>
  <si>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</si>
  <si>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</si>
  <si>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</si>
  <si>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</si>
  <si>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</si>
  <si>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</si>
  <si>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</si>
  <si>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</si>
  <si>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</si>
  <si>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</si>
  <si>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</si>
  <si>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</si>
  <si>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</si>
  <si>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</si>
  <si>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</si>
  <si>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</si>
  <si>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</si>
  <si>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</si>
  <si>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</si>
  <si>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</si>
  <si>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</si>
  <si>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</si>
  <si>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</si>
  <si>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</si>
  <si>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</si>
  <si>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</si>
  <si>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</si>
  <si>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</si>
  <si>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</si>
  <si>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</si>
  <si>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</si>
  <si>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</si>
  <si>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</si>
  <si>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</si>
  <si>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</si>
  <si>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</si>
  <si>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</si>
  <si>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</si>
  <si>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</si>
  <si>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</si>
  <si>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</si>
  <si>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</si>
  <si>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</si>
  <si>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</si>
  <si>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</si>
  <si>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</si>
  <si>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</si>
  <si>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</si>
  <si>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</si>
  <si>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</si>
  <si>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</si>
  <si>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</si>
  <si>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</si>
  <si>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</si>
  <si>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</si>
  <si>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</si>
  <si>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</si>
  <si>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</si>
  <si>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</si>
  <si>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</si>
  <si>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</si>
  <si>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</si>
  <si>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</si>
  <si>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</si>
  <si>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</si>
  <si>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</si>
  <si>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</si>
  <si>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</si>
  <si>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</si>
  <si>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</si>
  <si>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</si>
  <si>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</si>
  <si>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</si>
  <si>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</si>
  <si>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</si>
  <si>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</si>
  <si>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</si>
  <si>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</si>
  <si>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</si>
  <si>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</si>
  <si>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</si>
  <si>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</si>
  <si>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</si>
  <si>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</si>
  <si>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</si>
  <si>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</si>
  <si>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</si>
  <si>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</si>
  <si>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</si>
  <si>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</si>
  <si>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</si>
  <si>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</si>
  <si>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</si>
  <si>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</si>
  <si>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</si>
  <si>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</si>
  <si>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</si>
  <si>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</si>
  <si>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</si>
  <si>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</si>
  <si>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</si>
  <si>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</si>
  <si>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</si>
  <si>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</si>
  <si>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</si>
  <si>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</si>
  <si>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</si>
  <si>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</si>
  <si>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</si>
  <si>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</si>
  <si>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</si>
  <si>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</si>
  <si>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</si>
  <si>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</si>
  <si>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</si>
  <si>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</si>
  <si>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</si>
  <si>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</si>
  <si>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</si>
  <si>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</si>
  <si>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</si>
  <si>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</si>
  <si>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</si>
  <si>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</si>
  <si>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</si>
  <si>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</si>
  <si>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</si>
  <si>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</si>
  <si>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</si>
  <si>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</si>
  <si>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</si>
  <si>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</si>
  <si>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</si>
  <si>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</si>
  <si>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</si>
  <si>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</si>
  <si>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</si>
  <si>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</si>
  <si>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</si>
  <si>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</si>
  <si>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</si>
  <si>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</si>
  <si>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</si>
  <si>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</si>
  <si>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</si>
  <si>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</si>
  <si>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</si>
  <si>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</si>
  <si>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</si>
  <si>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</si>
  <si>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</si>
  <si>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</si>
  <si>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</si>
  <si>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</si>
  <si>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</si>
  <si>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</si>
  <si>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</si>
  <si>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</si>
  <si>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</si>
  <si>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</si>
  <si>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</si>
  <si>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</si>
  <si>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</si>
  <si>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</si>
  <si>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</si>
  <si>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</si>
  <si>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</si>
  <si>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</si>
  <si>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</si>
  <si>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</si>
  <si>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</si>
  <si>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</si>
  <si>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</si>
  <si>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</si>
  <si>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</si>
  <si>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</si>
  <si>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</si>
  <si>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</si>
  <si>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</si>
  <si>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</si>
  <si>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</si>
  <si>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</si>
  <si>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</si>
  <si>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</si>
  <si>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</si>
  <si>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</si>
  <si>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</si>
  <si>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</si>
  <si>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</si>
  <si>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</si>
  <si>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</si>
  <si>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</si>
  <si>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</si>
  <si>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</si>
  <si>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</si>
  <si>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</si>
  <si>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</si>
  <si>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</si>
  <si>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</si>
  <si>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</si>
  <si>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</si>
  <si>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</si>
  <si>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</si>
  <si>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</si>
  <si>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</si>
  <si>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</si>
  <si>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</si>
  <si>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</si>
  <si>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</si>
  <si>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</si>
  <si>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</si>
  <si>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</si>
  <si>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</si>
  <si>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</si>
  <si>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</si>
  <si>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</si>
  <si>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</si>
  <si>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</si>
  <si>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</si>
  <si>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</si>
  <si>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</si>
  <si>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</si>
  <si>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</si>
  <si>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</si>
  <si>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</si>
  <si>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</si>
  <si>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</si>
  <si>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</si>
  <si>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</si>
  <si>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</si>
  <si>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</si>
  <si>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</si>
  <si>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</si>
  <si>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</si>
  <si>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</si>
  <si>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</si>
  <si>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</si>
  <si>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</si>
  <si>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</si>
  <si>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</si>
  <si>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</si>
  <si>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</si>
  <si>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</si>
  <si>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</si>
  <si>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</si>
  <si>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</si>
  <si>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</si>
  <si>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</si>
  <si>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</si>
  <si>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</si>
  <si>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</si>
  <si>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</si>
  <si>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</si>
  <si>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</si>
  <si>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</si>
  <si>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</si>
  <si>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</si>
  <si>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</si>
  <si>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</si>
  <si>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</si>
  <si>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</si>
  <si>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</si>
  <si>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</si>
  <si>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</si>
  <si>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</si>
  <si>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</si>
  <si>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</si>
  <si>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</si>
  <si>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</si>
  <si>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</si>
  <si>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</si>
  <si>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</si>
  <si>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</si>
  <si>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</si>
  <si>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</si>
  <si>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</si>
  <si>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</si>
  <si>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</si>
  <si>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</si>
  <si>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</si>
  <si>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</si>
  <si>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</si>
  <si>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</si>
  <si>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</si>
  <si>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</si>
  <si>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</si>
  <si>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</si>
  <si>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</si>
  <si>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</si>
  <si>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</si>
  <si>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</si>
  <si>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</si>
  <si>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</si>
  <si>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</si>
  <si>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</si>
  <si>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</si>
  <si>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</si>
  <si>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</si>
  <si>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</si>
  <si>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</si>
  <si>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</si>
  <si>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</si>
  <si>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</si>
  <si>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</si>
  <si>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</si>
  <si>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</si>
  <si>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</si>
  <si>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</si>
  <si>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</si>
  <si>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</si>
  <si>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</si>
  <si>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</si>
  <si>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</si>
  <si>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</si>
  <si>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</si>
  <si>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</si>
  <si>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</si>
  <si>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</si>
  <si>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</si>
  <si>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</si>
  <si>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</si>
  <si>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</si>
  <si>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</si>
  <si>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</si>
  <si>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</si>
  <si>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</si>
  <si>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</si>
  <si>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</si>
  <si>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</si>
  <si>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</si>
  <si>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</si>
  <si>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</si>
  <si>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</si>
  <si>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</si>
  <si>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</si>
  <si>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</si>
  <si>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</si>
  <si>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</si>
  <si>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</si>
  <si>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</si>
  <si>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</si>
  <si>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</si>
  <si>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</si>
  <si>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</si>
  <si>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</si>
  <si>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</si>
  <si>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</si>
  <si>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</si>
  <si>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</si>
  <si>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</si>
  <si>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</si>
  <si>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</si>
  <si>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</si>
  <si>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</si>
  <si>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</si>
  <si>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</si>
  <si>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</si>
  <si>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</si>
  <si>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</si>
  <si>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</si>
  <si>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</si>
  <si>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</si>
  <si>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</si>
  <si>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</si>
  <si>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</si>
  <si>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</si>
  <si>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</si>
  <si>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</si>
  <si>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</si>
  <si>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</si>
  <si>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</si>
  <si>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</si>
  <si>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</si>
  <si>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</si>
  <si>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</si>
  <si>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</si>
  <si>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</si>
  <si>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</si>
  <si>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</si>
  <si>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</si>
  <si>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</si>
  <si>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</si>
  <si>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</si>
  <si>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</si>
  <si>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</si>
  <si>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</si>
  <si>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</si>
  <si>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</si>
  <si>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</si>
  <si>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</si>
  <si>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</si>
  <si>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</si>
  <si>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</si>
  <si>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</si>
  <si>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</si>
  <si>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</si>
  <si>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</si>
  <si>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</si>
  <si>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</si>
  <si>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</si>
  <si>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</si>
  <si>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</si>
  <si>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</si>
  <si>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</si>
  <si>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</si>
  <si>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</si>
  <si>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</si>
  <si>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</si>
  <si>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</si>
  <si>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</si>
  <si>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</si>
  <si>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</si>
  <si>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</si>
  <si>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</si>
  <si>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</si>
  <si>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</si>
  <si>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</si>
  <si>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</si>
  <si>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</si>
  <si>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</si>
  <si>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</si>
  <si>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</si>
  <si>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</si>
  <si>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</si>
  <si>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</si>
  <si>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</si>
  <si>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</si>
  <si>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</si>
  <si>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</si>
  <si>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</si>
  <si>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</si>
  <si>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</si>
  <si>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</si>
  <si>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</si>
  <si>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</si>
  <si>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</si>
  <si>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</si>
  <si>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</si>
  <si>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</si>
  <si>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</si>
  <si>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</si>
  <si>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</si>
  <si>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</si>
  <si>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</si>
  <si>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</si>
  <si>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</si>
  <si>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</si>
  <si>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</si>
  <si>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</si>
  <si>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</si>
  <si>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</si>
  <si>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</si>
  <si>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</si>
  <si>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</si>
  <si>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</si>
  <si>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</si>
  <si>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</si>
  <si>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</si>
  <si>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</si>
  <si>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</si>
  <si>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</si>
  <si>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</si>
  <si>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</si>
  <si>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</si>
  <si>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</si>
  <si>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</si>
  <si>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</si>
  <si>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</si>
  <si>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</si>
  <si>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</si>
  <si>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</si>
  <si>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</si>
  <si>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</si>
  <si>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</si>
  <si>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</si>
  <si>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</si>
  <si>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</si>
  <si>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</si>
  <si>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</si>
  <si>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</si>
  <si>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</si>
  <si>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</si>
  <si>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</si>
  <si>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</si>
  <si>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</si>
  <si>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</si>
  <si>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</si>
  <si>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</si>
  <si>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</si>
  <si>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</si>
  <si>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</si>
  <si>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</si>
  <si>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</si>
  <si>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</si>
  <si>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</si>
  <si>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</si>
  <si>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</si>
  <si>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</si>
  <si>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</si>
  <si>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</si>
  <si>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</si>
  <si>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</si>
  <si>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</si>
  <si>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</si>
  <si>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</si>
  <si>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</si>
  <si>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</si>
  <si>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</si>
  <si>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24066</t>
  </si>
  <si>
    <t>LUBBEEK</t>
  </si>
  <si>
    <t>Paarden&amp;pony's 200 - 600 kg</t>
  </si>
  <si>
    <t>Paarden&amp;pony's &lt; 200 kg</t>
  </si>
  <si>
    <t>op basis van VEA (maart 2018) en Inventaris Hernieuwbare Energiebronnen (juni 2018)</t>
  </si>
  <si>
    <t>VEA (juni 2018)</t>
  </si>
  <si>
    <t>Aspiravi NV</t>
  </si>
  <si>
    <t>Vaarnewijkstraat 18, 8530 Harelbeke</t>
  </si>
  <si>
    <t>BGS-0007 Pellenberg Stort (GSC rest)</t>
  </si>
  <si>
    <t>biogas - stortgas</t>
  </si>
  <si>
    <t>niet WKK interne verbrandingsmotor (gas)</t>
  </si>
  <si>
    <t>Papenveld, 3210 Lubbeek</t>
  </si>
  <si>
    <t>PBE</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</si>
</sst>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24066</v>
      </c>
      <c r="B6" s="397"/>
      <c r="C6" s="398"/>
    </row>
    <row r="7" spans="1:7" s="395" customFormat="1" ht="15.75" customHeight="1">
      <c r="A7" s="399" t="str">
        <f>txtMunicipality</f>
        <v>LUBBEEK</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24066</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5383</v>
      </c>
      <c r="C9" s="338">
        <v>5646</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2318</v>
      </c>
    </row>
    <row r="15" spans="1:6">
      <c r="A15" s="1205" t="s">
        <v>184</v>
      </c>
      <c r="B15" s="335">
        <v>435</v>
      </c>
    </row>
    <row r="16" spans="1:6">
      <c r="A16" s="1205" t="s">
        <v>6</v>
      </c>
      <c r="B16" s="335">
        <v>427</v>
      </c>
    </row>
    <row r="17" spans="1:6">
      <c r="A17" s="1205" t="s">
        <v>7</v>
      </c>
      <c r="B17" s="335">
        <v>337</v>
      </c>
    </row>
    <row r="18" spans="1:6">
      <c r="A18" s="1205" t="s">
        <v>8</v>
      </c>
      <c r="B18" s="335">
        <v>595</v>
      </c>
    </row>
    <row r="19" spans="1:6">
      <c r="A19" s="1205" t="s">
        <v>9</v>
      </c>
      <c r="B19" s="335">
        <v>575</v>
      </c>
    </row>
    <row r="20" spans="1:6">
      <c r="A20" s="1205" t="s">
        <v>10</v>
      </c>
      <c r="B20" s="335">
        <v>390</v>
      </c>
    </row>
    <row r="21" spans="1:6">
      <c r="A21" s="1205" t="s">
        <v>11</v>
      </c>
      <c r="B21" s="335">
        <v>966</v>
      </c>
    </row>
    <row r="22" spans="1:6">
      <c r="A22" s="1205" t="s">
        <v>12</v>
      </c>
      <c r="B22" s="335">
        <v>2373</v>
      </c>
    </row>
    <row r="23" spans="1:6">
      <c r="A23" s="1205" t="s">
        <v>13</v>
      </c>
      <c r="B23" s="335">
        <v>0</v>
      </c>
    </row>
    <row r="24" spans="1:6">
      <c r="A24" s="1205" t="s">
        <v>14</v>
      </c>
      <c r="B24" s="335">
        <v>1</v>
      </c>
    </row>
    <row r="25" spans="1:6">
      <c r="A25" s="1205" t="s">
        <v>15</v>
      </c>
      <c r="B25" s="335">
        <v>25</v>
      </c>
    </row>
    <row r="26" spans="1:6">
      <c r="A26" s="1205" t="s">
        <v>16</v>
      </c>
      <c r="B26" s="335">
        <v>459</v>
      </c>
    </row>
    <row r="27" spans="1:6">
      <c r="A27" s="1205" t="s">
        <v>17</v>
      </c>
      <c r="B27" s="335">
        <v>0</v>
      </c>
    </row>
    <row r="28" spans="1:6" s="341" customFormat="1">
      <c r="A28" s="1206" t="s">
        <v>18</v>
      </c>
      <c r="B28" s="1206">
        <v>0</v>
      </c>
    </row>
    <row r="29" spans="1:6">
      <c r="A29" s="1206" t="s">
        <v>873</v>
      </c>
      <c r="B29" s="1206">
        <v>280</v>
      </c>
      <c r="C29" s="341"/>
      <c r="D29" s="341"/>
      <c r="E29" s="341"/>
      <c r="F29" s="341"/>
    </row>
    <row r="30" spans="1:6">
      <c r="A30" s="1201" t="s">
        <v>874</v>
      </c>
      <c r="B30" s="1201">
        <v>35</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14</v>
      </c>
      <c r="F36" s="335">
        <v>2938150</v>
      </c>
    </row>
    <row r="37" spans="1:6">
      <c r="A37" s="1205" t="s">
        <v>25</v>
      </c>
      <c r="B37" s="1205" t="s">
        <v>28</v>
      </c>
      <c r="C37" s="335">
        <v>0</v>
      </c>
      <c r="D37" s="335">
        <v>0</v>
      </c>
      <c r="E37" s="335">
        <v>0</v>
      </c>
      <c r="F37" s="335">
        <v>0</v>
      </c>
    </row>
    <row r="38" spans="1:6">
      <c r="A38" s="1205" t="s">
        <v>25</v>
      </c>
      <c r="B38" s="1205" t="s">
        <v>29</v>
      </c>
      <c r="C38" s="335">
        <v>0</v>
      </c>
      <c r="D38" s="335">
        <v>0</v>
      </c>
      <c r="E38" s="335">
        <v>2</v>
      </c>
      <c r="F38" s="335">
        <v>31104</v>
      </c>
    </row>
    <row r="39" spans="1:6">
      <c r="A39" s="1205" t="s">
        <v>30</v>
      </c>
      <c r="B39" s="1205" t="s">
        <v>31</v>
      </c>
      <c r="C39" s="335">
        <v>1606</v>
      </c>
      <c r="D39" s="335">
        <v>30287277</v>
      </c>
      <c r="E39" s="335">
        <v>5284</v>
      </c>
      <c r="F39" s="335">
        <v>25270813</v>
      </c>
    </row>
    <row r="40" spans="1:6">
      <c r="A40" s="1205" t="s">
        <v>30</v>
      </c>
      <c r="B40" s="1205" t="s">
        <v>29</v>
      </c>
      <c r="C40" s="335">
        <v>0</v>
      </c>
      <c r="D40" s="335">
        <v>0</v>
      </c>
      <c r="E40" s="335">
        <v>0</v>
      </c>
      <c r="F40" s="335">
        <v>0</v>
      </c>
    </row>
    <row r="41" spans="1:6">
      <c r="A41" s="1205" t="s">
        <v>32</v>
      </c>
      <c r="B41" s="1205" t="s">
        <v>33</v>
      </c>
      <c r="C41" s="335">
        <v>20</v>
      </c>
      <c r="D41" s="335">
        <v>1137742</v>
      </c>
      <c r="E41" s="335">
        <v>84</v>
      </c>
      <c r="F41" s="335">
        <v>638600</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0</v>
      </c>
      <c r="D44" s="335">
        <v>0</v>
      </c>
      <c r="E44" s="335">
        <v>6</v>
      </c>
      <c r="F44" s="335">
        <v>33126</v>
      </c>
    </row>
    <row r="45" spans="1:6">
      <c r="A45" s="1205" t="s">
        <v>32</v>
      </c>
      <c r="B45" s="1205" t="s">
        <v>37</v>
      </c>
      <c r="C45" s="335">
        <v>0</v>
      </c>
      <c r="D45" s="335">
        <v>0</v>
      </c>
      <c r="E45" s="335">
        <v>4</v>
      </c>
      <c r="F45" s="335">
        <v>581223</v>
      </c>
    </row>
    <row r="46" spans="1:6">
      <c r="A46" s="1205" t="s">
        <v>32</v>
      </c>
      <c r="B46" s="1205" t="s">
        <v>38</v>
      </c>
      <c r="C46" s="335">
        <v>0</v>
      </c>
      <c r="D46" s="335">
        <v>0</v>
      </c>
      <c r="E46" s="335">
        <v>0</v>
      </c>
      <c r="F46" s="335">
        <v>0</v>
      </c>
    </row>
    <row r="47" spans="1:6">
      <c r="A47" s="1205" t="s">
        <v>32</v>
      </c>
      <c r="B47" s="1205" t="s">
        <v>39</v>
      </c>
      <c r="C47" s="335">
        <v>0</v>
      </c>
      <c r="D47" s="335">
        <v>0</v>
      </c>
      <c r="E47" s="335">
        <v>0</v>
      </c>
      <c r="F47" s="335">
        <v>0</v>
      </c>
    </row>
    <row r="48" spans="1:6">
      <c r="A48" s="1205" t="s">
        <v>32</v>
      </c>
      <c r="B48" s="1205" t="s">
        <v>29</v>
      </c>
      <c r="C48" s="335">
        <v>4</v>
      </c>
      <c r="D48" s="335">
        <v>119140</v>
      </c>
      <c r="E48" s="335">
        <v>2</v>
      </c>
      <c r="F48" s="335">
        <v>32584</v>
      </c>
    </row>
    <row r="49" spans="1:6">
      <c r="A49" s="1205" t="s">
        <v>32</v>
      </c>
      <c r="B49" s="1205" t="s">
        <v>40</v>
      </c>
      <c r="C49" s="335">
        <v>0</v>
      </c>
      <c r="D49" s="335">
        <v>0</v>
      </c>
      <c r="E49" s="335">
        <v>0</v>
      </c>
      <c r="F49" s="335">
        <v>0</v>
      </c>
    </row>
    <row r="50" spans="1:6">
      <c r="A50" s="1205" t="s">
        <v>32</v>
      </c>
      <c r="B50" s="1205" t="s">
        <v>41</v>
      </c>
      <c r="C50" s="335">
        <v>4</v>
      </c>
      <c r="D50" s="335">
        <v>85987</v>
      </c>
      <c r="E50" s="335">
        <v>12</v>
      </c>
      <c r="F50" s="335">
        <v>249092</v>
      </c>
    </row>
    <row r="51" spans="1:6">
      <c r="A51" s="1205" t="s">
        <v>42</v>
      </c>
      <c r="B51" s="1205" t="s">
        <v>43</v>
      </c>
      <c r="C51" s="335">
        <v>3</v>
      </c>
      <c r="D51" s="335">
        <v>57363</v>
      </c>
      <c r="E51" s="335">
        <v>77</v>
      </c>
      <c r="F51" s="335">
        <v>750951</v>
      </c>
    </row>
    <row r="52" spans="1:6">
      <c r="A52" s="1205" t="s">
        <v>42</v>
      </c>
      <c r="B52" s="1205" t="s">
        <v>29</v>
      </c>
      <c r="C52" s="335">
        <v>0</v>
      </c>
      <c r="D52" s="335">
        <v>0</v>
      </c>
      <c r="E52" s="335">
        <v>0</v>
      </c>
      <c r="F52" s="335">
        <v>0</v>
      </c>
    </row>
    <row r="53" spans="1:6">
      <c r="A53" s="1205" t="s">
        <v>44</v>
      </c>
      <c r="B53" s="1205" t="s">
        <v>45</v>
      </c>
      <c r="C53" s="335">
        <v>0</v>
      </c>
      <c r="D53" s="335">
        <v>0</v>
      </c>
      <c r="E53" s="335">
        <v>0</v>
      </c>
      <c r="F53" s="335">
        <v>0</v>
      </c>
    </row>
    <row r="54" spans="1:6">
      <c r="A54" s="1205" t="s">
        <v>46</v>
      </c>
      <c r="B54" s="1205" t="s">
        <v>47</v>
      </c>
      <c r="C54" s="335">
        <v>0</v>
      </c>
      <c r="D54" s="335">
        <v>0</v>
      </c>
      <c r="E54" s="335">
        <v>1</v>
      </c>
      <c r="F54" s="335">
        <v>880507</v>
      </c>
    </row>
    <row r="55" spans="1:6">
      <c r="A55" s="1205" t="s">
        <v>46</v>
      </c>
      <c r="B55" s="1205" t="s">
        <v>29</v>
      </c>
      <c r="C55" s="335">
        <v>0</v>
      </c>
      <c r="D55" s="335">
        <v>0</v>
      </c>
      <c r="E55" s="335">
        <v>0</v>
      </c>
      <c r="F55" s="335">
        <v>0</v>
      </c>
    </row>
    <row r="56" spans="1:6">
      <c r="A56" s="1205" t="s">
        <v>48</v>
      </c>
      <c r="B56" s="1205" t="s">
        <v>29</v>
      </c>
      <c r="C56" s="335">
        <v>30</v>
      </c>
      <c r="D56" s="335">
        <v>1334899</v>
      </c>
      <c r="E56" s="335">
        <v>85</v>
      </c>
      <c r="F56" s="335">
        <v>626372</v>
      </c>
    </row>
    <row r="57" spans="1:6">
      <c r="A57" s="1205" t="s">
        <v>49</v>
      </c>
      <c r="B57" s="1205" t="s">
        <v>50</v>
      </c>
      <c r="C57" s="335">
        <v>15</v>
      </c>
      <c r="D57" s="335">
        <v>793024</v>
      </c>
      <c r="E57" s="335">
        <v>58</v>
      </c>
      <c r="F57" s="335">
        <v>565938</v>
      </c>
    </row>
    <row r="58" spans="1:6">
      <c r="A58" s="1205" t="s">
        <v>49</v>
      </c>
      <c r="B58" s="1205" t="s">
        <v>51</v>
      </c>
      <c r="C58" s="335">
        <v>9</v>
      </c>
      <c r="D58" s="335">
        <v>1002164</v>
      </c>
      <c r="E58" s="335">
        <v>26</v>
      </c>
      <c r="F58" s="335">
        <v>4539756</v>
      </c>
    </row>
    <row r="59" spans="1:6">
      <c r="A59" s="1205" t="s">
        <v>49</v>
      </c>
      <c r="B59" s="1205" t="s">
        <v>52</v>
      </c>
      <c r="C59" s="335">
        <v>36</v>
      </c>
      <c r="D59" s="335">
        <v>1630710</v>
      </c>
      <c r="E59" s="335">
        <v>152</v>
      </c>
      <c r="F59" s="335">
        <v>4313187</v>
      </c>
    </row>
    <row r="60" spans="1:6">
      <c r="A60" s="1205" t="s">
        <v>49</v>
      </c>
      <c r="B60" s="1205" t="s">
        <v>53</v>
      </c>
      <c r="C60" s="335">
        <v>15</v>
      </c>
      <c r="D60" s="335">
        <v>928333</v>
      </c>
      <c r="E60" s="335">
        <v>36</v>
      </c>
      <c r="F60" s="335">
        <v>783107</v>
      </c>
    </row>
    <row r="61" spans="1:6">
      <c r="A61" s="1205" t="s">
        <v>49</v>
      </c>
      <c r="B61" s="1205" t="s">
        <v>54</v>
      </c>
      <c r="C61" s="335">
        <v>66</v>
      </c>
      <c r="D61" s="335">
        <v>3151971</v>
      </c>
      <c r="E61" s="335">
        <v>259</v>
      </c>
      <c r="F61" s="335">
        <v>3230102</v>
      </c>
    </row>
    <row r="62" spans="1:6">
      <c r="A62" s="1205" t="s">
        <v>49</v>
      </c>
      <c r="B62" s="1205" t="s">
        <v>55</v>
      </c>
      <c r="C62" s="335">
        <v>3</v>
      </c>
      <c r="D62" s="335">
        <v>141482</v>
      </c>
      <c r="E62" s="335">
        <v>7</v>
      </c>
      <c r="F62" s="335">
        <v>108248</v>
      </c>
    </row>
    <row r="63" spans="1:6">
      <c r="A63" s="1205" t="s">
        <v>49</v>
      </c>
      <c r="B63" s="1205" t="s">
        <v>29</v>
      </c>
      <c r="C63" s="335">
        <v>0</v>
      </c>
      <c r="D63" s="335">
        <v>0</v>
      </c>
      <c r="E63" s="335">
        <v>0</v>
      </c>
      <c r="F63" s="335">
        <v>0</v>
      </c>
    </row>
    <row r="64" spans="1:6">
      <c r="A64" s="1205" t="s">
        <v>56</v>
      </c>
      <c r="B64" s="1205" t="s">
        <v>57</v>
      </c>
      <c r="C64" s="335">
        <v>0</v>
      </c>
      <c r="D64" s="335">
        <v>0</v>
      </c>
      <c r="E64" s="335">
        <v>0</v>
      </c>
      <c r="F64" s="335">
        <v>0</v>
      </c>
    </row>
    <row r="65" spans="1:6">
      <c r="A65" s="1205" t="s">
        <v>56</v>
      </c>
      <c r="B65" s="1205" t="s">
        <v>29</v>
      </c>
      <c r="C65" s="335">
        <v>0</v>
      </c>
      <c r="D65" s="335">
        <v>0</v>
      </c>
      <c r="E65" s="335">
        <v>1</v>
      </c>
      <c r="F65" s="335">
        <v>6532</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0</v>
      </c>
      <c r="D68" s="335">
        <v>0</v>
      </c>
      <c r="E68" s="335">
        <v>9</v>
      </c>
      <c r="F68" s="335">
        <v>91319</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54865759</v>
      </c>
      <c r="E73" s="335">
        <v>41831154.393109255</v>
      </c>
    </row>
    <row r="74" spans="1:6">
      <c r="A74" s="1205" t="s">
        <v>64</v>
      </c>
      <c r="B74" s="1205" t="s">
        <v>772</v>
      </c>
      <c r="C74" s="1216" t="s">
        <v>766</v>
      </c>
      <c r="D74" s="335">
        <v>5911422.4673439823</v>
      </c>
      <c r="E74" s="335">
        <v>5171317.7665473046</v>
      </c>
    </row>
    <row r="75" spans="1:6">
      <c r="A75" s="1205" t="s">
        <v>65</v>
      </c>
      <c r="B75" s="1205" t="s">
        <v>771</v>
      </c>
      <c r="C75" s="1216" t="s">
        <v>767</v>
      </c>
      <c r="D75" s="335">
        <v>25245144</v>
      </c>
      <c r="E75" s="335">
        <v>21658746.052781355</v>
      </c>
    </row>
    <row r="76" spans="1:6">
      <c r="A76" s="1205" t="s">
        <v>65</v>
      </c>
      <c r="B76" s="1205" t="s">
        <v>772</v>
      </c>
      <c r="C76" s="1216" t="s">
        <v>768</v>
      </c>
      <c r="D76" s="335">
        <v>1306766.4673439818</v>
      </c>
      <c r="E76" s="335">
        <v>1153762.2398337156</v>
      </c>
    </row>
    <row r="77" spans="1:6">
      <c r="A77" s="1205" t="s">
        <v>66</v>
      </c>
      <c r="B77" s="1205" t="s">
        <v>771</v>
      </c>
      <c r="C77" s="1216" t="s">
        <v>769</v>
      </c>
      <c r="D77" s="335">
        <v>0</v>
      </c>
      <c r="E77" s="335">
        <v>0</v>
      </c>
    </row>
    <row r="78" spans="1:6">
      <c r="A78" s="1201" t="s">
        <v>66</v>
      </c>
      <c r="B78" s="1201" t="s">
        <v>772</v>
      </c>
      <c r="C78" s="1201" t="s">
        <v>770</v>
      </c>
      <c r="D78" s="1201">
        <v>0</v>
      </c>
      <c r="E78" s="1201">
        <v>0</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1050095.0653120361</v>
      </c>
      <c r="C83" s="335">
        <v>1017790.1217325875</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2918.6475084583553</v>
      </c>
    </row>
    <row r="92" spans="1:6">
      <c r="A92" s="1201" t="s">
        <v>69</v>
      </c>
      <c r="B92" s="338">
        <v>1139.4001081377646</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508</v>
      </c>
    </row>
    <row r="98" spans="1:6">
      <c r="A98" s="1205" t="s">
        <v>72</v>
      </c>
      <c r="B98" s="335">
        <v>0</v>
      </c>
    </row>
    <row r="99" spans="1:6">
      <c r="A99" s="1205" t="s">
        <v>73</v>
      </c>
      <c r="B99" s="335">
        <v>84</v>
      </c>
    </row>
    <row r="100" spans="1:6">
      <c r="A100" s="1205" t="s">
        <v>74</v>
      </c>
      <c r="B100" s="335">
        <v>438</v>
      </c>
    </row>
    <row r="101" spans="1:6">
      <c r="A101" s="1205" t="s">
        <v>75</v>
      </c>
      <c r="B101" s="335">
        <v>54</v>
      </c>
    </row>
    <row r="102" spans="1:6">
      <c r="A102" s="1205" t="s">
        <v>76</v>
      </c>
      <c r="B102" s="335">
        <v>49</v>
      </c>
    </row>
    <row r="103" spans="1:6">
      <c r="A103" s="1205" t="s">
        <v>77</v>
      </c>
      <c r="B103" s="335">
        <v>114</v>
      </c>
    </row>
    <row r="104" spans="1:6">
      <c r="A104" s="1205" t="s">
        <v>78</v>
      </c>
      <c r="B104" s="335">
        <v>3638</v>
      </c>
    </row>
    <row r="105" spans="1:6">
      <c r="A105" s="1201" t="s">
        <v>79</v>
      </c>
      <c r="B105" s="1201">
        <v>6</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13</v>
      </c>
      <c r="C123" s="335">
        <v>25</v>
      </c>
    </row>
    <row r="124" spans="1:6">
      <c r="A124" s="1201" t="s">
        <v>89</v>
      </c>
      <c r="B124" s="335">
        <v>1</v>
      </c>
      <c r="C124" s="335">
        <v>1</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36</v>
      </c>
    </row>
    <row r="130" spans="1:6">
      <c r="A130" s="1205" t="s">
        <v>295</v>
      </c>
      <c r="B130" s="335">
        <v>0</v>
      </c>
    </row>
    <row r="131" spans="1:6">
      <c r="A131" s="1205" t="s">
        <v>296</v>
      </c>
      <c r="B131" s="335">
        <v>0</v>
      </c>
    </row>
    <row r="132" spans="1:6">
      <c r="A132" s="1201" t="s">
        <v>297</v>
      </c>
      <c r="B132" s="338">
        <v>4</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45712.067044154108</v>
      </c>
      <c r="C3" s="44" t="s">
        <v>170</v>
      </c>
      <c r="D3" s="44"/>
      <c r="E3" s="157"/>
      <c r="F3" s="44"/>
      <c r="G3" s="44"/>
      <c r="H3" s="44"/>
      <c r="I3" s="44"/>
      <c r="J3" s="44"/>
      <c r="K3" s="97"/>
    </row>
    <row r="4" spans="1:11">
      <c r="A4" s="365" t="s">
        <v>171</v>
      </c>
      <c r="B4" s="50">
        <f>IF(ISERROR('SEAP template'!B69),0,'SEAP template'!B69)</f>
        <v>4872.54761659612</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0.19744313432101832</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880.50699999999995</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880.50699999999995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0.19744313432101832</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173.85006187159686</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25270.812999999998</v>
      </c>
      <c r="C5" s="18">
        <f>IF(ISERROR('Eigen informatie GS &amp; warmtenet'!B57),0,'Eigen informatie GS &amp; warmtenet'!B57)</f>
        <v>0</v>
      </c>
      <c r="D5" s="31">
        <f>(SUM(HH_hh_gas_kWh,HH_rest_gas_kWh)/1000)*0.902</f>
        <v>27319.123853999998</v>
      </c>
      <c r="E5" s="18">
        <f>B46*B57</f>
        <v>3551.078877017912</v>
      </c>
      <c r="F5" s="18">
        <f>B51*B62</f>
        <v>52306.745390680342</v>
      </c>
      <c r="G5" s="19"/>
      <c r="H5" s="18"/>
      <c r="I5" s="18"/>
      <c r="J5" s="18">
        <f>B50*B61+C50*C61</f>
        <v>132.53947905034198</v>
      </c>
      <c r="K5" s="18"/>
      <c r="L5" s="18"/>
      <c r="M5" s="18"/>
      <c r="N5" s="18">
        <f>B48*B59+C48*C59</f>
        <v>7413.6081471181487</v>
      </c>
      <c r="O5" s="18">
        <f>B69*B70*B71</f>
        <v>96.926666666666677</v>
      </c>
      <c r="P5" s="18">
        <f>B77*B78*B79/1000-B77*B78*B79/1000/B80</f>
        <v>343.2</v>
      </c>
    </row>
    <row r="6" spans="1:16">
      <c r="A6" s="17" t="s">
        <v>639</v>
      </c>
      <c r="B6" s="831">
        <f>kWh_PV_kleiner_dan_10kW</f>
        <v>2918.6475084583553</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28189.460508458353</v>
      </c>
      <c r="C8" s="22">
        <f>C5</f>
        <v>0</v>
      </c>
      <c r="D8" s="22">
        <f>D5</f>
        <v>27319.123853999998</v>
      </c>
      <c r="E8" s="22">
        <f>E5</f>
        <v>3551.078877017912</v>
      </c>
      <c r="F8" s="22">
        <f>F5</f>
        <v>52306.745390680342</v>
      </c>
      <c r="G8" s="22"/>
      <c r="H8" s="22"/>
      <c r="I8" s="22"/>
      <c r="J8" s="22">
        <f>J5</f>
        <v>132.53947905034198</v>
      </c>
      <c r="K8" s="22"/>
      <c r="L8" s="22">
        <f>L5</f>
        <v>0</v>
      </c>
      <c r="M8" s="22">
        <f>M5</f>
        <v>0</v>
      </c>
      <c r="N8" s="22">
        <f>N5</f>
        <v>7413.6081471181487</v>
      </c>
      <c r="O8" s="22">
        <f>O5</f>
        <v>96.926666666666677</v>
      </c>
      <c r="P8" s="22">
        <f>P5</f>
        <v>343.2</v>
      </c>
    </row>
    <row r="9" spans="1:16">
      <c r="B9" s="20"/>
      <c r="C9" s="20"/>
      <c r="D9" s="262"/>
      <c r="E9" s="20"/>
      <c r="F9" s="20"/>
      <c r="G9" s="20"/>
      <c r="H9" s="20"/>
      <c r="I9" s="20"/>
      <c r="J9" s="20"/>
      <c r="K9" s="20"/>
      <c r="L9" s="20"/>
      <c r="M9" s="20"/>
      <c r="N9" s="20"/>
      <c r="O9" s="20"/>
      <c r="P9" s="20"/>
    </row>
    <row r="10" spans="1:16">
      <c r="A10" s="25" t="s">
        <v>214</v>
      </c>
      <c r="B10" s="26">
        <f ca="1">'EF ele_warmte'!B12</f>
        <v>0.19744313432101832</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5565.815437608584</v>
      </c>
      <c r="C12" s="24">
        <f ca="1">C10*C8</f>
        <v>0</v>
      </c>
      <c r="D12" s="24">
        <f>D8*D10</f>
        <v>5518.4630185079995</v>
      </c>
      <c r="E12" s="24">
        <f>E10*E8</f>
        <v>806.09490508306601</v>
      </c>
      <c r="F12" s="24">
        <f>F10*F8</f>
        <v>13965.901019311652</v>
      </c>
      <c r="G12" s="24"/>
      <c r="H12" s="24"/>
      <c r="I12" s="24"/>
      <c r="J12" s="24">
        <f>J10*J8</f>
        <v>46.918975583821059</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508</v>
      </c>
      <c r="C18" s="169" t="s">
        <v>111</v>
      </c>
      <c r="D18" s="231"/>
      <c r="E18" s="16"/>
    </row>
    <row r="19" spans="1:7">
      <c r="A19" s="174" t="s">
        <v>72</v>
      </c>
      <c r="B19" s="38">
        <f>aantalw2001_ander</f>
        <v>0</v>
      </c>
      <c r="C19" s="169" t="s">
        <v>111</v>
      </c>
      <c r="D19" s="232"/>
      <c r="E19" s="16"/>
    </row>
    <row r="20" spans="1:7">
      <c r="A20" s="174" t="s">
        <v>73</v>
      </c>
      <c r="B20" s="38">
        <f>aantalw2001_propaan</f>
        <v>84</v>
      </c>
      <c r="C20" s="170">
        <f>IF(ISERROR(B20/SUM($B$20,$B$21,$B$22)*100),0,B20/SUM($B$20,$B$21,$B$22)*100)</f>
        <v>14.583333333333334</v>
      </c>
      <c r="D20" s="232"/>
      <c r="E20" s="16"/>
    </row>
    <row r="21" spans="1:7">
      <c r="A21" s="174" t="s">
        <v>74</v>
      </c>
      <c r="B21" s="38">
        <f>aantalw2001_elektriciteit</f>
        <v>438</v>
      </c>
      <c r="C21" s="170">
        <f>IF(ISERROR(B21/SUM($B$20,$B$21,$B$22)*100),0,B21/SUM($B$20,$B$21,$B$22)*100)</f>
        <v>76.041666666666657</v>
      </c>
      <c r="D21" s="232"/>
      <c r="E21" s="16"/>
    </row>
    <row r="22" spans="1:7">
      <c r="A22" s="174" t="s">
        <v>75</v>
      </c>
      <c r="B22" s="38">
        <f>aantalw2001_hout</f>
        <v>54</v>
      </c>
      <c r="C22" s="170">
        <f>IF(ISERROR(B22/SUM($B$20,$B$21,$B$22)*100),0,B22/SUM($B$20,$B$21,$B$22)*100)</f>
        <v>9.375</v>
      </c>
      <c r="D22" s="232"/>
      <c r="E22" s="16"/>
    </row>
    <row r="23" spans="1:7">
      <c r="A23" s="174" t="s">
        <v>76</v>
      </c>
      <c r="B23" s="38">
        <f>aantalw2001_niet_gespec</f>
        <v>49</v>
      </c>
      <c r="C23" s="169" t="s">
        <v>111</v>
      </c>
      <c r="D23" s="231"/>
      <c r="E23" s="16"/>
    </row>
    <row r="24" spans="1:7">
      <c r="A24" s="174" t="s">
        <v>77</v>
      </c>
      <c r="B24" s="38">
        <f>aantalw2001_steenkool</f>
        <v>114</v>
      </c>
      <c r="C24" s="169" t="s">
        <v>111</v>
      </c>
      <c r="D24" s="232"/>
      <c r="E24" s="16"/>
    </row>
    <row r="25" spans="1:7">
      <c r="A25" s="174" t="s">
        <v>78</v>
      </c>
      <c r="B25" s="38">
        <f>aantalw2001_stookolie</f>
        <v>3638</v>
      </c>
      <c r="C25" s="169" t="s">
        <v>111</v>
      </c>
      <c r="D25" s="231"/>
      <c r="E25" s="53"/>
    </row>
    <row r="26" spans="1:7">
      <c r="A26" s="174" t="s">
        <v>79</v>
      </c>
      <c r="B26" s="38">
        <f>aantalw2001_WP</f>
        <v>6</v>
      </c>
      <c r="C26" s="169" t="s">
        <v>111</v>
      </c>
      <c r="D26" s="231"/>
      <c r="E26" s="16"/>
    </row>
    <row r="27" spans="1:7" s="16" customFormat="1">
      <c r="A27" s="174"/>
      <c r="B27" s="30"/>
      <c r="C27" s="37"/>
      <c r="D27" s="231"/>
    </row>
    <row r="28" spans="1:7" s="16" customFormat="1">
      <c r="A28" s="233" t="s">
        <v>665</v>
      </c>
      <c r="B28" s="38">
        <f>aantalHuishoudens2011</f>
        <v>5383</v>
      </c>
      <c r="C28" s="37"/>
      <c r="D28" s="231"/>
    </row>
    <row r="29" spans="1:7" s="16" customFormat="1">
      <c r="A29" s="233" t="s">
        <v>666</v>
      </c>
      <c r="B29" s="38">
        <f>SUM(HH_hh_gas_aantal,HH_rest_gas_aantal)</f>
        <v>1606</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1606</v>
      </c>
      <c r="C32" s="170">
        <f>IF(ISERROR(B32/SUM($B$32,$B$34,$B$35,$B$36,$B$38,$B$39)*100),0,B32/SUM($B$32,$B$34,$B$35,$B$36,$B$38,$B$39)*100)</f>
        <v>29.934762348555449</v>
      </c>
      <c r="D32" s="236"/>
      <c r="G32" s="16"/>
    </row>
    <row r="33" spans="1:7">
      <c r="A33" s="174" t="s">
        <v>72</v>
      </c>
      <c r="B33" s="35" t="s">
        <v>111</v>
      </c>
      <c r="C33" s="170"/>
      <c r="D33" s="236"/>
      <c r="G33" s="16"/>
    </row>
    <row r="34" spans="1:7">
      <c r="A34" s="174" t="s">
        <v>73</v>
      </c>
      <c r="B34" s="34">
        <f>IF((($B$28-$B$32-$B$39-$B$77-$B$38)*C20/100)&lt;0,0,($B$28-$B$32-$B$39-$B$77-$B$38)*C20/100)</f>
        <v>161.14583333333331</v>
      </c>
      <c r="C34" s="170">
        <f>IF(ISERROR(B34/SUM($B$32,$B$34,$B$35,$B$36,$B$38,$B$39)*100),0,B34/SUM($B$32,$B$34,$B$35,$B$36,$B$38,$B$39)*100)</f>
        <v>3.0036502019260638</v>
      </c>
      <c r="D34" s="236"/>
      <c r="G34" s="16"/>
    </row>
    <row r="35" spans="1:7">
      <c r="A35" s="174" t="s">
        <v>74</v>
      </c>
      <c r="B35" s="34">
        <f>IF((($B$28-$B$32-$B$39-$B$77-$B$38)*C21/100)&lt;0,0,($B$28-$B$32-$B$39-$B$77-$B$38)*C21/100)</f>
        <v>840.2604166666664</v>
      </c>
      <c r="C35" s="170">
        <f>IF(ISERROR(B35/SUM($B$32,$B$34,$B$35,$B$36,$B$38,$B$39)*100),0,B35/SUM($B$32,$B$34,$B$35,$B$36,$B$38,$B$39)*100)</f>
        <v>15.661890338614469</v>
      </c>
      <c r="D35" s="236"/>
      <c r="G35" s="16"/>
    </row>
    <row r="36" spans="1:7">
      <c r="A36" s="174" t="s">
        <v>75</v>
      </c>
      <c r="B36" s="34">
        <f>IF((($B$28-$B$32-$B$39-$B$77-$B$38)*C22/100)&lt;0,0,($B$28-$B$32-$B$39-$B$77-$B$38)*C22/100)</f>
        <v>103.59374999999999</v>
      </c>
      <c r="C36" s="170">
        <f>IF(ISERROR(B36/SUM($B$32,$B$34,$B$35,$B$36,$B$38,$B$39)*100),0,B36/SUM($B$32,$B$34,$B$35,$B$36,$B$38,$B$39)*100)</f>
        <v>1.9309179869524695</v>
      </c>
      <c r="D36" s="236"/>
      <c r="G36" s="16"/>
    </row>
    <row r="37" spans="1:7">
      <c r="A37" s="174" t="s">
        <v>76</v>
      </c>
      <c r="B37" s="35" t="s">
        <v>111</v>
      </c>
      <c r="C37" s="170"/>
      <c r="D37" s="176"/>
      <c r="G37" s="16"/>
    </row>
    <row r="38" spans="1:7">
      <c r="A38" s="174" t="s">
        <v>77</v>
      </c>
      <c r="B38" s="34">
        <f>IF((B24-(B29-B18)*0.1)&lt;0,0,B24-(B29-B18)*0.1)</f>
        <v>4.1999999999999886</v>
      </c>
      <c r="C38" s="170">
        <f>IF(ISERROR(B38/SUM($B$32,$B$34,$B$35,$B$36,$B$38,$B$39)*100),0,B38/SUM($B$32,$B$34,$B$35,$B$36,$B$38,$B$39)*100)</f>
        <v>7.8285181733457387E-2</v>
      </c>
      <c r="D38" s="237"/>
      <c r="G38" s="16"/>
    </row>
    <row r="39" spans="1:7">
      <c r="A39" s="174" t="s">
        <v>78</v>
      </c>
      <c r="B39" s="34">
        <f>IF((B25-(B29-B18))&lt;0,0,B25-(B29-B18)*0.9)</f>
        <v>2649.8</v>
      </c>
      <c r="C39" s="170">
        <f>IF(ISERROR(B39/SUM($B$32,$B$34,$B$35,$B$36,$B$38,$B$39)*100),0,B39/SUM($B$32,$B$34,$B$35,$B$36,$B$38,$B$39)*100)</f>
        <v>49.390493942218086</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1606</v>
      </c>
      <c r="C44" s="35" t="s">
        <v>111</v>
      </c>
      <c r="D44" s="177"/>
    </row>
    <row r="45" spans="1:7">
      <c r="A45" s="174" t="s">
        <v>72</v>
      </c>
      <c r="B45" s="34" t="str">
        <f t="shared" si="0"/>
        <v>-</v>
      </c>
      <c r="C45" s="35" t="s">
        <v>111</v>
      </c>
      <c r="D45" s="177"/>
    </row>
    <row r="46" spans="1:7">
      <c r="A46" s="174" t="s">
        <v>73</v>
      </c>
      <c r="B46" s="34">
        <f t="shared" si="0"/>
        <v>161.14583333333331</v>
      </c>
      <c r="C46" s="35" t="s">
        <v>111</v>
      </c>
      <c r="D46" s="177"/>
    </row>
    <row r="47" spans="1:7">
      <c r="A47" s="174" t="s">
        <v>74</v>
      </c>
      <c r="B47" s="34">
        <f t="shared" si="0"/>
        <v>840.2604166666664</v>
      </c>
      <c r="C47" s="35" t="s">
        <v>111</v>
      </c>
      <c r="D47" s="177"/>
    </row>
    <row r="48" spans="1:7">
      <c r="A48" s="174" t="s">
        <v>75</v>
      </c>
      <c r="B48" s="34">
        <f t="shared" si="0"/>
        <v>103.59374999999999</v>
      </c>
      <c r="C48" s="34">
        <f>B48*10</f>
        <v>1035.9374999999998</v>
      </c>
      <c r="D48" s="237"/>
    </row>
    <row r="49" spans="1:6">
      <c r="A49" s="174" t="s">
        <v>76</v>
      </c>
      <c r="B49" s="34" t="str">
        <f t="shared" si="0"/>
        <v>-</v>
      </c>
      <c r="C49" s="35" t="s">
        <v>111</v>
      </c>
      <c r="D49" s="237"/>
    </row>
    <row r="50" spans="1:6">
      <c r="A50" s="174" t="s">
        <v>77</v>
      </c>
      <c r="B50" s="34">
        <f t="shared" si="0"/>
        <v>4.1999999999999886</v>
      </c>
      <c r="C50" s="34">
        <f>B50*2</f>
        <v>8.3999999999999773</v>
      </c>
      <c r="D50" s="237"/>
    </row>
    <row r="51" spans="1:6">
      <c r="A51" s="174" t="s">
        <v>78</v>
      </c>
      <c r="B51" s="34">
        <f t="shared" si="0"/>
        <v>2649.8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62</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18</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13540.338000000002</v>
      </c>
      <c r="C5" s="18">
        <f>IF(ISERROR('Eigen informatie GS &amp; warmtenet'!B58),0,'Eigen informatie GS &amp; warmtenet'!B58)</f>
        <v>0</v>
      </c>
      <c r="D5" s="31">
        <f>SUM(D6:D12)</f>
        <v>6898.2109680000012</v>
      </c>
      <c r="E5" s="18">
        <f>SUM(E6:E12)</f>
        <v>78.361488453791679</v>
      </c>
      <c r="F5" s="18">
        <f>SUM(F6:F12)</f>
        <v>3221.5177562293034</v>
      </c>
      <c r="G5" s="19"/>
      <c r="H5" s="18"/>
      <c r="I5" s="18"/>
      <c r="J5" s="18">
        <f>SUM(J6:J12)</f>
        <v>0</v>
      </c>
      <c r="K5" s="18"/>
      <c r="L5" s="18"/>
      <c r="M5" s="18"/>
      <c r="N5" s="18">
        <f>SUM(N6:N12)</f>
        <v>388.12528415768452</v>
      </c>
      <c r="O5" s="18">
        <f>B38*B39*B40</f>
        <v>0</v>
      </c>
      <c r="P5" s="18">
        <f>B46*B47*B48/1000-B46*B47*B48/1000/B49</f>
        <v>0</v>
      </c>
      <c r="R5" s="33"/>
    </row>
    <row r="6" spans="1:18">
      <c r="A6" s="33" t="s">
        <v>54</v>
      </c>
      <c r="B6" s="38">
        <f>B26</f>
        <v>3230.1019999999999</v>
      </c>
      <c r="C6" s="34"/>
      <c r="D6" s="38">
        <f>IF(ISERROR(TER_kantoor_gas_kWh/1000),0,TER_kantoor_gas_kWh/1000)*0.902</f>
        <v>2843.0778420000001</v>
      </c>
      <c r="E6" s="34">
        <f>$C$26*'E Balans VL '!I12/100/3.6*1000000</f>
        <v>5.3012520456651391</v>
      </c>
      <c r="F6" s="34">
        <f>$C$26*('E Balans VL '!L12+'E Balans VL '!N12)/100/3.6*1000000</f>
        <v>380.7530256270947</v>
      </c>
      <c r="G6" s="35"/>
      <c r="H6" s="34"/>
      <c r="I6" s="34"/>
      <c r="J6" s="34">
        <f>$C$26*('E Balans VL '!D12+'E Balans VL '!E12)/100/3.6*1000000</f>
        <v>0</v>
      </c>
      <c r="K6" s="34"/>
      <c r="L6" s="34"/>
      <c r="M6" s="34"/>
      <c r="N6" s="34">
        <f>$C$26*'E Balans VL '!Y12/100/3.6*1000000</f>
        <v>0.65262681331480377</v>
      </c>
      <c r="O6" s="34"/>
      <c r="P6" s="34"/>
      <c r="R6" s="33"/>
    </row>
    <row r="7" spans="1:18">
      <c r="A7" s="33" t="s">
        <v>53</v>
      </c>
      <c r="B7" s="38">
        <f t="shared" ref="B7:B12" si="0">B27</f>
        <v>783.10699999999997</v>
      </c>
      <c r="C7" s="34"/>
      <c r="D7" s="38">
        <f>IF(ISERROR(TER_horeca_gas_kWh/1000),0,TER_horeca_gas_kWh/1000)*0.902</f>
        <v>837.35636599999998</v>
      </c>
      <c r="E7" s="34">
        <f>$C$27*'E Balans VL '!I9/100/3.6*1000000</f>
        <v>40.637586616485486</v>
      </c>
      <c r="F7" s="34">
        <f>$C$27*('E Balans VL '!L9+'E Balans VL '!N9)/100/3.6*1000000</f>
        <v>178.7055856252554</v>
      </c>
      <c r="G7" s="35"/>
      <c r="H7" s="34"/>
      <c r="I7" s="34"/>
      <c r="J7" s="34">
        <f>$C$27*('E Balans VL '!D9+'E Balans VL '!E9)/100/3.6*1000000</f>
        <v>0</v>
      </c>
      <c r="K7" s="34"/>
      <c r="L7" s="34"/>
      <c r="M7" s="34"/>
      <c r="N7" s="34">
        <f>$C$27*'E Balans VL '!Y9/100/3.6*1000000</f>
        <v>8.2695740325560499E-2</v>
      </c>
      <c r="O7" s="34"/>
      <c r="P7" s="34"/>
      <c r="R7" s="33"/>
    </row>
    <row r="8" spans="1:18">
      <c r="A8" s="6" t="s">
        <v>52</v>
      </c>
      <c r="B8" s="38">
        <f t="shared" si="0"/>
        <v>4313.1869999999999</v>
      </c>
      <c r="C8" s="34"/>
      <c r="D8" s="38">
        <f>IF(ISERROR(TER_handel_gas_kWh/1000),0,TER_handel_gas_kWh/1000)*0.902</f>
        <v>1470.9004200000002</v>
      </c>
      <c r="E8" s="34">
        <f>$C$28*'E Balans VL '!I13/100/3.6*1000000</f>
        <v>23.227042015236918</v>
      </c>
      <c r="F8" s="34">
        <f>$C$28*('E Balans VL '!L13+'E Balans VL '!N13)/100/3.6*1000000</f>
        <v>879.58700567320909</v>
      </c>
      <c r="G8" s="35"/>
      <c r="H8" s="34"/>
      <c r="I8" s="34"/>
      <c r="J8" s="34">
        <f>$C$28*('E Balans VL '!D13+'E Balans VL '!E13)/100/3.6*1000000</f>
        <v>0</v>
      </c>
      <c r="K8" s="34"/>
      <c r="L8" s="34"/>
      <c r="M8" s="34"/>
      <c r="N8" s="34">
        <f>$C$28*'E Balans VL '!Y13/100/3.6*1000000</f>
        <v>21.447201222203557</v>
      </c>
      <c r="O8" s="34"/>
      <c r="P8" s="34"/>
      <c r="R8" s="33"/>
    </row>
    <row r="9" spans="1:18">
      <c r="A9" s="33" t="s">
        <v>51</v>
      </c>
      <c r="B9" s="38">
        <f t="shared" si="0"/>
        <v>4539.7560000000003</v>
      </c>
      <c r="C9" s="34"/>
      <c r="D9" s="38">
        <f>IF(ISERROR(TER_gezond_gas_kWh/1000),0,TER_gezond_gas_kWh/1000)*0.902</f>
        <v>903.95192800000007</v>
      </c>
      <c r="E9" s="34">
        <f>$C$29*'E Balans VL '!I10/100/3.6*1000000</f>
        <v>4.4989498218915731</v>
      </c>
      <c r="F9" s="34">
        <f>$C$29*('E Balans VL '!L10+'E Balans VL '!N10)/100/3.6*1000000</f>
        <v>1575.1644785534086</v>
      </c>
      <c r="G9" s="35"/>
      <c r="H9" s="34"/>
      <c r="I9" s="34"/>
      <c r="J9" s="34">
        <f>$C$29*('E Balans VL '!D10+'E Balans VL '!E10)/100/3.6*1000000</f>
        <v>0</v>
      </c>
      <c r="K9" s="34"/>
      <c r="L9" s="34"/>
      <c r="M9" s="34"/>
      <c r="N9" s="34">
        <f>$C$29*'E Balans VL '!Y10/100/3.6*1000000</f>
        <v>39.118684174823223</v>
      </c>
      <c r="O9" s="34"/>
      <c r="P9" s="34"/>
      <c r="R9" s="33"/>
    </row>
    <row r="10" spans="1:18">
      <c r="A10" s="33" t="s">
        <v>50</v>
      </c>
      <c r="B10" s="38">
        <f t="shared" si="0"/>
        <v>565.93799999999999</v>
      </c>
      <c r="C10" s="34"/>
      <c r="D10" s="38">
        <f>IF(ISERROR(TER_ander_gas_kWh/1000),0,TER_ander_gas_kWh/1000)*0.902</f>
        <v>715.30764799999997</v>
      </c>
      <c r="E10" s="34">
        <f>$C$30*'E Balans VL '!I14/100/3.6*1000000</f>
        <v>4.6299384547491398</v>
      </c>
      <c r="F10" s="34">
        <f>$C$30*('E Balans VL '!L14+'E Balans VL '!N14)/100/3.6*1000000</f>
        <v>165.45723090977182</v>
      </c>
      <c r="G10" s="35"/>
      <c r="H10" s="34"/>
      <c r="I10" s="34"/>
      <c r="J10" s="34">
        <f>$C$30*('E Balans VL '!D14+'E Balans VL '!E14)/100/3.6*1000000</f>
        <v>0</v>
      </c>
      <c r="K10" s="34"/>
      <c r="L10" s="34"/>
      <c r="M10" s="34"/>
      <c r="N10" s="34">
        <f>$C$30*'E Balans VL '!Y14/100/3.6*1000000</f>
        <v>326.47196866006846</v>
      </c>
      <c r="O10" s="34"/>
      <c r="P10" s="34"/>
      <c r="R10" s="33"/>
    </row>
    <row r="11" spans="1:18">
      <c r="A11" s="33" t="s">
        <v>55</v>
      </c>
      <c r="B11" s="38">
        <f t="shared" si="0"/>
        <v>108.248</v>
      </c>
      <c r="C11" s="34"/>
      <c r="D11" s="38">
        <f>IF(ISERROR(TER_onderwijs_gas_kWh/1000),0,TER_onderwijs_gas_kWh/1000)*0.902</f>
        <v>127.616764</v>
      </c>
      <c r="E11" s="34">
        <f>$C$31*'E Balans VL '!I11/100/3.6*1000000</f>
        <v>6.6719499763416582E-2</v>
      </c>
      <c r="F11" s="34">
        <f>$C$31*('E Balans VL '!L11+'E Balans VL '!N11)/100/3.6*1000000</f>
        <v>41.85042984056399</v>
      </c>
      <c r="G11" s="35"/>
      <c r="H11" s="34"/>
      <c r="I11" s="34"/>
      <c r="J11" s="34">
        <f>$C$31*('E Balans VL '!D11+'E Balans VL '!E11)/100/3.6*1000000</f>
        <v>0</v>
      </c>
      <c r="K11" s="34"/>
      <c r="L11" s="34"/>
      <c r="M11" s="34"/>
      <c r="N11" s="34">
        <f>$C$31*'E Balans VL '!Y11/100/3.6*1000000</f>
        <v>0.35210754694889046</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energieproductie'!N90+'lokale energieproductie'!N59</f>
        <v>814.5</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-2327.1428571428573</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14354.838000000002</v>
      </c>
      <c r="C16" s="22">
        <f t="shared" ca="1" si="1"/>
        <v>0</v>
      </c>
      <c r="D16" s="22">
        <f t="shared" ca="1" si="1"/>
        <v>6898.2109680000012</v>
      </c>
      <c r="E16" s="22">
        <f t="shared" si="1"/>
        <v>78.361488453791679</v>
      </c>
      <c r="F16" s="22">
        <f t="shared" ca="1" si="1"/>
        <v>3221.5177562293034</v>
      </c>
      <c r="G16" s="22">
        <f t="shared" si="1"/>
        <v>0</v>
      </c>
      <c r="H16" s="22">
        <f t="shared" si="1"/>
        <v>0</v>
      </c>
      <c r="I16" s="22">
        <f t="shared" si="1"/>
        <v>0</v>
      </c>
      <c r="J16" s="22">
        <f t="shared" si="1"/>
        <v>0</v>
      </c>
      <c r="K16" s="22">
        <f t="shared" si="1"/>
        <v>0</v>
      </c>
      <c r="L16" s="22">
        <f t="shared" ca="1" si="1"/>
        <v>0</v>
      </c>
      <c r="M16" s="22">
        <f t="shared" si="1"/>
        <v>0</v>
      </c>
      <c r="N16" s="22">
        <f t="shared" ca="1" si="1"/>
        <v>0</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0.19744313432101832</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2834.2642073904581</v>
      </c>
      <c r="C20" s="24">
        <f t="shared" ref="C20:P20" ca="1" si="2">C16*C18</f>
        <v>0</v>
      </c>
      <c r="D20" s="24">
        <f t="shared" ca="1" si="2"/>
        <v>1393.4386155360003</v>
      </c>
      <c r="E20" s="24">
        <f t="shared" si="2"/>
        <v>17.788057879010712</v>
      </c>
      <c r="F20" s="24">
        <f t="shared" ca="1" si="2"/>
        <v>860.14524091322403</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3230.1019999999999</v>
      </c>
      <c r="C26" s="40">
        <f>IF(ISERROR(B26*3.6/1000000/'E Balans VL '!Z12*100),0,B26*3.6/1000000/'E Balans VL '!Z12*100)</f>
        <v>6.8637351093581475E-2</v>
      </c>
      <c r="D26" s="240" t="s">
        <v>707</v>
      </c>
      <c r="F26" s="6"/>
    </row>
    <row r="27" spans="1:18">
      <c r="A27" s="234" t="s">
        <v>53</v>
      </c>
      <c r="B27" s="34">
        <f>IF(ISERROR(TER_horeca_ele_kWh/1000),0,TER_horeca_ele_kWh/1000)</f>
        <v>783.10699999999997</v>
      </c>
      <c r="C27" s="40">
        <f>IF(ISERROR(B27*3.6/1000000/'E Balans VL '!Z9*100),0,B27*3.6/1000000/'E Balans VL '!Z9*100)</f>
        <v>6.1636576640169312E-2</v>
      </c>
      <c r="D27" s="240" t="s">
        <v>707</v>
      </c>
      <c r="F27" s="6"/>
    </row>
    <row r="28" spans="1:18">
      <c r="A28" s="174" t="s">
        <v>52</v>
      </c>
      <c r="B28" s="34">
        <f>IF(ISERROR(TER_handel_ele_kWh/1000),0,TER_handel_ele_kWh/1000)</f>
        <v>4313.1869999999999</v>
      </c>
      <c r="C28" s="40">
        <f>IF(ISERROR(B28*3.6/1000000/'E Balans VL '!Z13*100),0,B28*3.6/1000000/'E Balans VL '!Z13*100)</f>
        <v>0.12081467619655036</v>
      </c>
      <c r="D28" s="240" t="s">
        <v>707</v>
      </c>
      <c r="F28" s="6"/>
    </row>
    <row r="29" spans="1:18">
      <c r="A29" s="234" t="s">
        <v>51</v>
      </c>
      <c r="B29" s="34">
        <f>IF(ISERROR(TER_gezond_ele_kWh/1000),0,TER_gezond_ele_kWh/1000)</f>
        <v>4539.7560000000003</v>
      </c>
      <c r="C29" s="40">
        <f>IF(ISERROR(B29*3.6/1000000/'E Balans VL '!Z10*100),0,B29*3.6/1000000/'E Balans VL '!Z10*100)</f>
        <v>0.58077206909270485</v>
      </c>
      <c r="D29" s="240" t="s">
        <v>707</v>
      </c>
      <c r="F29" s="6"/>
    </row>
    <row r="30" spans="1:18">
      <c r="A30" s="234" t="s">
        <v>50</v>
      </c>
      <c r="B30" s="34">
        <f>IF(ISERROR(TER_ander_ele_kWh/1000),0,TER_ander_ele_kWh/1000)</f>
        <v>565.93799999999999</v>
      </c>
      <c r="C30" s="40">
        <f>IF(ISERROR(B30*3.6/1000000/'E Balans VL '!Z14*100),0,B30*3.6/1000000/'E Balans VL '!Z14*100)</f>
        <v>4.2327393723108453E-2</v>
      </c>
      <c r="D30" s="240" t="s">
        <v>707</v>
      </c>
      <c r="F30" s="6"/>
    </row>
    <row r="31" spans="1:18">
      <c r="A31" s="234" t="s">
        <v>55</v>
      </c>
      <c r="B31" s="34">
        <f>IF(ISERROR(TER_onderwijs_ele_kWh/1000),0,TER_onderwijs_ele_kWh/1000)</f>
        <v>108.248</v>
      </c>
      <c r="C31" s="40">
        <f>IF(ISERROR(B31*3.6/1000000/'E Balans VL '!Z11*100),0,B31*3.6/1000000/'E Balans VL '!Z11*100)</f>
        <v>2.2856705417000356E-2</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1534.625</v>
      </c>
      <c r="C5" s="18">
        <f>IF(ISERROR('Eigen informatie GS &amp; warmtenet'!B59),0,'Eigen informatie GS &amp; warmtenet'!B59)</f>
        <v>0</v>
      </c>
      <c r="D5" s="31">
        <f>SUM(D6:D15)</f>
        <v>1211.2678379999998</v>
      </c>
      <c r="E5" s="18">
        <f>SUM(E6:E15)</f>
        <v>21.469929052769782</v>
      </c>
      <c r="F5" s="18">
        <f>SUM(F6:F15)</f>
        <v>707.3139005762439</v>
      </c>
      <c r="G5" s="19"/>
      <c r="H5" s="18"/>
      <c r="I5" s="18"/>
      <c r="J5" s="18">
        <f>SUM(J6:J15)</f>
        <v>4.6069754981809599</v>
      </c>
      <c r="K5" s="18"/>
      <c r="L5" s="18"/>
      <c r="M5" s="18"/>
      <c r="N5" s="18">
        <f>SUM(N6:N15)</f>
        <v>53.186164585293625</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33.125999999999998</v>
      </c>
      <c r="C8" s="34"/>
      <c r="D8" s="38">
        <f>IF( ISERROR(IND_metaal_Gas_kWH/1000),0,IND_metaal_Gas_kWH/1000)*0.902</f>
        <v>0</v>
      </c>
      <c r="E8" s="34">
        <f>C30*'E Balans VL '!I18/100/3.6*1000000</f>
        <v>0.30167251228554703</v>
      </c>
      <c r="F8" s="34">
        <f>C30*'E Balans VL '!L18/100/3.6*1000000+C30*'E Balans VL '!N18/100/3.6*1000000</f>
        <v>4.3690678368352671</v>
      </c>
      <c r="G8" s="35"/>
      <c r="H8" s="34"/>
      <c r="I8" s="34"/>
      <c r="J8" s="41">
        <f>C30*'E Balans VL '!D18/100/3.6*1000000+C30*'E Balans VL '!E18/100/3.6*1000000</f>
        <v>0.543218302779929</v>
      </c>
      <c r="K8" s="34"/>
      <c r="L8" s="34"/>
      <c r="M8" s="34"/>
      <c r="N8" s="34">
        <f>C30*'E Balans VL '!Y18/100/3.6*1000000</f>
        <v>0.11384090273025606</v>
      </c>
      <c r="O8" s="34"/>
      <c r="P8" s="34"/>
      <c r="R8" s="33"/>
    </row>
    <row r="9" spans="1:18">
      <c r="A9" s="6" t="s">
        <v>33</v>
      </c>
      <c r="B9" s="38">
        <f t="shared" si="0"/>
        <v>638.6</v>
      </c>
      <c r="C9" s="34"/>
      <c r="D9" s="38">
        <f>IF( ISERROR(IND_andere_gas_kWh/1000),0,IND_andere_gas_kWh/1000)*0.902</f>
        <v>1026.2432839999999</v>
      </c>
      <c r="E9" s="34">
        <f>C31*'E Balans VL '!I19/100/3.6*1000000</f>
        <v>3.6912034308766275</v>
      </c>
      <c r="F9" s="34">
        <f>C31*'E Balans VL '!L19/100/3.6*1000000+C31*'E Balans VL '!N19/100/3.6*1000000</f>
        <v>508.03702821603986</v>
      </c>
      <c r="G9" s="35"/>
      <c r="H9" s="34"/>
      <c r="I9" s="34"/>
      <c r="J9" s="41">
        <f>C31*'E Balans VL '!D19/100/3.6*1000000+C31*'E Balans VL '!E19/100/3.6*1000000</f>
        <v>6.0404466632111131E-2</v>
      </c>
      <c r="K9" s="34"/>
      <c r="L9" s="34"/>
      <c r="M9" s="34"/>
      <c r="N9" s="34">
        <f>C31*'E Balans VL '!Y19/100/3.6*1000000</f>
        <v>48.383614130010166</v>
      </c>
      <c r="O9" s="34"/>
      <c r="P9" s="34"/>
      <c r="R9" s="33"/>
    </row>
    <row r="10" spans="1:18">
      <c r="A10" s="6" t="s">
        <v>41</v>
      </c>
      <c r="B10" s="38">
        <f t="shared" si="0"/>
        <v>249.09200000000001</v>
      </c>
      <c r="C10" s="34"/>
      <c r="D10" s="38">
        <f>IF( ISERROR(IND_voed_gas_kWh/1000),0,IND_voed_gas_kWh/1000)*0.902</f>
        <v>77.560273999999993</v>
      </c>
      <c r="E10" s="34">
        <f>C32*'E Balans VL '!I20/100/3.6*1000000</f>
        <v>2.4492260223632836</v>
      </c>
      <c r="F10" s="34">
        <f>C32*'E Balans VL '!L20/100/3.6*1000000+C32*'E Balans VL '!N20/100/3.6*1000000</f>
        <v>27.66491790929679</v>
      </c>
      <c r="G10" s="35"/>
      <c r="H10" s="34"/>
      <c r="I10" s="34"/>
      <c r="J10" s="41">
        <f>C32*'E Balans VL '!D20/100/3.6*1000000+C32*'E Balans VL '!E20/100/3.6*1000000</f>
        <v>9.8178465296365806E-4</v>
      </c>
      <c r="K10" s="34"/>
      <c r="L10" s="34"/>
      <c r="M10" s="34"/>
      <c r="N10" s="34">
        <f>C32*'E Balans VL '!Y20/100/3.6*1000000</f>
        <v>3.6884665938548573</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581.22299999999996</v>
      </c>
      <c r="C12" s="34"/>
      <c r="D12" s="38">
        <f>IF( ISERROR(IND_min_gas_kWh/1000),0,IND_min_gas_kWh/1000)*0.902</f>
        <v>0</v>
      </c>
      <c r="E12" s="34">
        <f>C34*'E Balans VL '!I22/100/3.6*1000000</f>
        <v>14.735037333467647</v>
      </c>
      <c r="F12" s="34">
        <f>C34*'E Balans VL '!L22/100/3.6*1000000+C34*'E Balans VL '!N22/100/3.6*1000000</f>
        <v>160.82643000523743</v>
      </c>
      <c r="G12" s="35"/>
      <c r="H12" s="34"/>
      <c r="I12" s="34"/>
      <c r="J12" s="41">
        <f>C34*'E Balans VL '!D22/100/3.6*1000000+C34*'E Balans VL '!E22/100/3.6*1000000</f>
        <v>3.8385134893011297</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32.584000000000003</v>
      </c>
      <c r="C15" s="34"/>
      <c r="D15" s="38">
        <f>IF( ISERROR(IND_rest_gas_kWh/1000),0,IND_rest_gas_kWh/1000)*0.902</f>
        <v>107.46428</v>
      </c>
      <c r="E15" s="34">
        <f>C37*'E Balans VL '!I15/100/3.6*1000000</f>
        <v>0.29278975377667754</v>
      </c>
      <c r="F15" s="34">
        <f>C37*'E Balans VL '!L15/100/3.6*1000000+C37*'E Balans VL '!N15/100/3.6*1000000</f>
        <v>6.4164566088345243</v>
      </c>
      <c r="G15" s="35"/>
      <c r="H15" s="34"/>
      <c r="I15" s="34"/>
      <c r="J15" s="41">
        <f>C37*'E Balans VL '!D15/100/3.6*1000000+C37*'E Balans VL '!E15/100/3.6*1000000</f>
        <v>0.16385745481482553</v>
      </c>
      <c r="K15" s="34"/>
      <c r="L15" s="34"/>
      <c r="M15" s="34"/>
      <c r="N15" s="34">
        <f>C37*'E Balans VL '!Y15/100/3.6*1000000</f>
        <v>1.0002429586983528</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1534.625</v>
      </c>
      <c r="C18" s="22">
        <f>C5+C16</f>
        <v>0</v>
      </c>
      <c r="D18" s="22">
        <f>MAX((D5+D16),0)</f>
        <v>1211.2678379999998</v>
      </c>
      <c r="E18" s="22">
        <f>MAX((E5+E16),0)</f>
        <v>21.469929052769782</v>
      </c>
      <c r="F18" s="22">
        <f>MAX((F5+F16),0)</f>
        <v>707.3139005762439</v>
      </c>
      <c r="G18" s="22"/>
      <c r="H18" s="22"/>
      <c r="I18" s="22"/>
      <c r="J18" s="22">
        <f>MAX((J5+J16),0)</f>
        <v>4.6069754981809599</v>
      </c>
      <c r="K18" s="22"/>
      <c r="L18" s="22">
        <f>MAX((L5+L16),0)</f>
        <v>0</v>
      </c>
      <c r="M18" s="22"/>
      <c r="N18" s="22">
        <f>MAX((N5+N16),0)</f>
        <v>53.186164585293625</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0.19744313432101832</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303.00117000739272</v>
      </c>
      <c r="C22" s="24">
        <f ca="1">C18*C20</f>
        <v>0</v>
      </c>
      <c r="D22" s="24">
        <f>D18*D20</f>
        <v>244.67610327599996</v>
      </c>
      <c r="E22" s="24">
        <f>E18*E20</f>
        <v>4.873673894978741</v>
      </c>
      <c r="F22" s="24">
        <f>F18*F20</f>
        <v>188.85281145385713</v>
      </c>
      <c r="G22" s="24"/>
      <c r="H22" s="24"/>
      <c r="I22" s="24"/>
      <c r="J22" s="24">
        <f>J18*J20</f>
        <v>1.6308693263560596</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33.125999999999998</v>
      </c>
      <c r="C30" s="40">
        <f>IF(ISERROR(B30*3.6/1000000/'E Balans VL '!Z18*100),0,B30*3.6/1000000/'E Balans VL '!Z18*100)</f>
        <v>1.8432403883385123E-3</v>
      </c>
      <c r="D30" s="240" t="s">
        <v>707</v>
      </c>
    </row>
    <row r="31" spans="1:18">
      <c r="A31" s="6" t="s">
        <v>33</v>
      </c>
      <c r="B31" s="38">
        <f>IF( ISERROR(IND_ander_ele_kWh/1000),0,IND_ander_ele_kWh/1000)</f>
        <v>638.6</v>
      </c>
      <c r="C31" s="40">
        <f>IF(ISERROR(B31*3.6/1000000/'E Balans VL '!Z19*100),0,B31*3.6/1000000/'E Balans VL '!Z19*100)</f>
        <v>2.9686836843085332E-2</v>
      </c>
      <c r="D31" s="240" t="s">
        <v>707</v>
      </c>
    </row>
    <row r="32" spans="1:18">
      <c r="A32" s="174" t="s">
        <v>41</v>
      </c>
      <c r="B32" s="38">
        <f>IF( ISERROR(IND_voed_ele_kWh/1000),0,IND_voed_ele_kWh/1000)</f>
        <v>249.09200000000001</v>
      </c>
      <c r="C32" s="40">
        <f>IF(ISERROR(B32*3.6/1000000/'E Balans VL '!Z20*100),0,B32*3.6/1000000/'E Balans VL '!Z20*100)</f>
        <v>8.8048991374010798E-3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581.22299999999996</v>
      </c>
      <c r="C34" s="40">
        <f>IF(ISERROR(B34*3.6/1000000/'E Balans VL '!Z22*100),0,B34*3.6/1000000/'E Balans VL '!Z22*100)</f>
        <v>0.11680943306511922</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32.584000000000003</v>
      </c>
      <c r="C37" s="40">
        <f>IF(ISERROR(B37*3.6/1000000/'E Balans VL '!Z15*100),0,B37*3.6/1000000/'E Balans VL '!Z15*100)</f>
        <v>2.4605733384655814E-4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750.95100000000002</v>
      </c>
      <c r="C5" s="18">
        <f>'Eigen informatie GS &amp; warmtenet'!B60</f>
        <v>0</v>
      </c>
      <c r="D5" s="31">
        <f>IF(ISERROR(SUM(LB_lb_gas_kWh,LB_rest_gas_kWh,onbekend_gas_kWh)/1000),0,SUM(LB_lb_gas_kWh,LB_rest_gas_kWh,onbekend_gas_kWh)/1000)*0.902</f>
        <v>51.741426000000004</v>
      </c>
      <c r="E5" s="18">
        <f>B17*'E Balans VL '!I25/3.6*1000000/100</f>
        <v>7.0744615736749985</v>
      </c>
      <c r="F5" s="18">
        <f>B17*('E Balans VL '!L25/3.6*1000000+'E Balans VL '!N25/3.6*1000000)/100</f>
        <v>2450.6023317496961</v>
      </c>
      <c r="G5" s="19"/>
      <c r="H5" s="18"/>
      <c r="I5" s="18"/>
      <c r="J5" s="18">
        <f>('E Balans VL '!D25+'E Balans VL '!E25)/3.6*1000000*landbouw!B17/100</f>
        <v>92.896291324962363</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750.95100000000002</v>
      </c>
      <c r="C8" s="22">
        <f>C5+C6</f>
        <v>0</v>
      </c>
      <c r="D8" s="22">
        <f>MAX((D5+D6),0)</f>
        <v>51.741426000000004</v>
      </c>
      <c r="E8" s="22">
        <f>MAX((E5+E6),0)</f>
        <v>7.0744615736749985</v>
      </c>
      <c r="F8" s="22">
        <f>MAX((F5+F6),0)</f>
        <v>2450.6023317496961</v>
      </c>
      <c r="G8" s="22"/>
      <c r="H8" s="22"/>
      <c r="I8" s="22"/>
      <c r="J8" s="22">
        <f>MAX((J5+J6),0)</f>
        <v>92.896291324962363</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0.19744313432101832</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148.27011916150303</v>
      </c>
      <c r="C12" s="24">
        <f ca="1">C8*C10</f>
        <v>0</v>
      </c>
      <c r="D12" s="24">
        <f>D8*D10</f>
        <v>10.451768052000002</v>
      </c>
      <c r="E12" s="24">
        <f>E8*E10</f>
        <v>1.6059027772242247</v>
      </c>
      <c r="F12" s="24">
        <f>F8*F10</f>
        <v>654.31082257716889</v>
      </c>
      <c r="G12" s="24"/>
      <c r="H12" s="24"/>
      <c r="I12" s="24"/>
      <c r="J12" s="24">
        <f>J8*J10</f>
        <v>32.885287129036676</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0.10166676558661766</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173.15138393655675</v>
      </c>
      <c r="C26" s="250">
        <f>B26*'GWP N2O_CH4'!B5</f>
        <v>3636.1790626676921</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39.928053426888624</v>
      </c>
      <c r="C27" s="250">
        <f>B27*'GWP N2O_CH4'!B5</f>
        <v>838.48912196466108</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2.6675262213578876</v>
      </c>
      <c r="C28" s="250">
        <f>B28*'GWP N2O_CH4'!B4</f>
        <v>826.93312862094513</v>
      </c>
      <c r="D28" s="51"/>
    </row>
    <row r="29" spans="1:4">
      <c r="A29" s="42" t="s">
        <v>277</v>
      </c>
      <c r="B29" s="250">
        <f>B34*'ha_N2O bodem landbouw'!B4</f>
        <v>12.784615731897603</v>
      </c>
      <c r="C29" s="250">
        <f>B29*'GWP N2O_CH4'!B4</f>
        <v>3963.2308768882567</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3.4514437844976871E-3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6.0679285047218855E-6</v>
      </c>
      <c r="C5" s="447" t="s">
        <v>211</v>
      </c>
      <c r="D5" s="432">
        <f>SUM(D6:D11)</f>
        <v>1.852640155140252E-5</v>
      </c>
      <c r="E5" s="432">
        <f>SUM(E6:E11)</f>
        <v>1.0571298065022705E-3</v>
      </c>
      <c r="F5" s="445" t="s">
        <v>211</v>
      </c>
      <c r="G5" s="432">
        <f>SUM(G6:G11)</f>
        <v>0.22098340725856924</v>
      </c>
      <c r="H5" s="432">
        <f>SUM(H6:H11)</f>
        <v>4.0834243860316859E-2</v>
      </c>
      <c r="I5" s="447" t="s">
        <v>211</v>
      </c>
      <c r="J5" s="447" t="s">
        <v>211</v>
      </c>
      <c r="K5" s="447" t="s">
        <v>211</v>
      </c>
      <c r="L5" s="447" t="s">
        <v>211</v>
      </c>
      <c r="M5" s="432">
        <f>SUM(M6:M11)</f>
        <v>1.1708344710732453E-2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4.1557577121468891E-6</v>
      </c>
      <c r="C6" s="433"/>
      <c r="D6" s="433">
        <f>vkm_2011_GW_PW*SUMIFS(TableVerdeelsleutelVkm[CNG],TableVerdeelsleutelVkm[Voertuigtype],"Lichte voertuigen")*SUMIFS(TableECFTransport[EnergieConsumptieFactor (PJ per km)],TableECFTransport[Index],CONCATENATE($A6,"_CNG_CNG"))</f>
        <v>1.0148429929979479E-5</v>
      </c>
      <c r="E6" s="435">
        <f>vkm_2011_GW_PW*SUMIFS(TableVerdeelsleutelVkm[LPG],TableVerdeelsleutelVkm[Voertuigtype],"Lichte voertuigen")*SUMIFS(TableECFTransport[EnergieConsumptieFactor (PJ per km)],TableECFTransport[Index],CONCATENATE($A6,"_LPG_LPG"))</f>
        <v>6.0154648057371256E-4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8.69606200447504E-2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2.2789880181394193E-2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4.9148295180696279E-3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5.496168953300349E-2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2.2174898950401234E-5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2.4485262636676328E-3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1.9121707925749965E-6</v>
      </c>
      <c r="C8" s="433"/>
      <c r="D8" s="435">
        <f>vkm_2011_NGW_PW*SUMIFS(TableVerdeelsleutelVkm[CNG],TableVerdeelsleutelVkm[Voertuigtype],"Lichte voertuigen")*SUMIFS(TableECFTransport[EnergieConsumptieFactor (PJ per km)],TableECFTransport[Index],CONCATENATE($A8,"_CNG_CNG"))</f>
        <v>8.3779716214230408E-6</v>
      </c>
      <c r="E8" s="435">
        <f>vkm_2011_NGW_PW*SUMIFS(TableVerdeelsleutelVkm[LPG],TableVerdeelsleutelVkm[Voertuigtype],"Lichte voertuigen")*SUMIFS(TableECFTransport[EnergieConsumptieFactor (PJ per km)],TableECFTransport[Index],CONCATENATE($A8,"_LPG_LPG"))</f>
        <v>4.5558332592855792E-4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6.2216884274225351E-2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1.8016271547137253E-2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3.5946246256652863E-3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1.6844213406589995E-2</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5.9172328350195737E-6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7.5036430332990601E-4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1.6855356957560792</v>
      </c>
      <c r="C14" s="22"/>
      <c r="D14" s="22">
        <f t="shared" ref="D14:M14" si="0">((D5)*10^9/3600)+D12</f>
        <v>5.1462226531673663</v>
      </c>
      <c r="E14" s="22">
        <f t="shared" si="0"/>
        <v>293.64716847285291</v>
      </c>
      <c r="F14" s="22"/>
      <c r="G14" s="22">
        <f t="shared" si="0"/>
        <v>61384.279794047012</v>
      </c>
      <c r="H14" s="22">
        <f t="shared" si="0"/>
        <v>11342.845516754684</v>
      </c>
      <c r="I14" s="22"/>
      <c r="J14" s="22"/>
      <c r="K14" s="22"/>
      <c r="L14" s="22"/>
      <c r="M14" s="22">
        <f t="shared" si="0"/>
        <v>3252.3179752034589</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0.19744313432101832</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0.33279745078003858</v>
      </c>
      <c r="C18" s="24"/>
      <c r="D18" s="24">
        <f t="shared" ref="D18:M18" si="1">D14*D16</f>
        <v>1.0395369759398081</v>
      </c>
      <c r="E18" s="24">
        <f t="shared" si="1"/>
        <v>66.657907243337618</v>
      </c>
      <c r="F18" s="24"/>
      <c r="G18" s="24">
        <f t="shared" si="1"/>
        <v>16389.602705010551</v>
      </c>
      <c r="H18" s="24">
        <f t="shared" si="1"/>
        <v>2824.3685336719163</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1.3763877856523216E-2</v>
      </c>
      <c r="H50" s="323">
        <f t="shared" si="2"/>
        <v>0</v>
      </c>
      <c r="I50" s="323">
        <f t="shared" si="2"/>
        <v>0</v>
      </c>
      <c r="J50" s="323">
        <f t="shared" si="2"/>
        <v>0</v>
      </c>
      <c r="K50" s="323">
        <f t="shared" si="2"/>
        <v>0</v>
      </c>
      <c r="L50" s="323">
        <f t="shared" si="2"/>
        <v>0</v>
      </c>
      <c r="M50" s="323">
        <f t="shared" si="2"/>
        <v>6.0439458161667731E-4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1.3763877856523216E-2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6.0439458161667731E-4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3823.2994045897822</v>
      </c>
      <c r="H54" s="22">
        <f t="shared" si="3"/>
        <v>0</v>
      </c>
      <c r="I54" s="22">
        <f t="shared" si="3"/>
        <v>0</v>
      </c>
      <c r="J54" s="22">
        <f t="shared" si="3"/>
        <v>0</v>
      </c>
      <c r="K54" s="22">
        <f t="shared" si="3"/>
        <v>0</v>
      </c>
      <c r="L54" s="22">
        <f t="shared" si="3"/>
        <v>0</v>
      </c>
      <c r="M54" s="22">
        <f t="shared" si="3"/>
        <v>167.88738378241038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0.19744313432101832</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1020.8209410254719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3"/>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4058.04761659612</v>
      </c>
      <c r="C6" s="1135"/>
      <c r="D6" s="1138"/>
      <c r="E6" s="1138"/>
      <c r="F6" s="1141"/>
      <c r="G6" s="1144"/>
      <c r="H6" s="1132"/>
      <c r="I6" s="1138"/>
      <c r="J6" s="1138"/>
      <c r="K6" s="1138"/>
      <c r="L6" s="1168"/>
      <c r="M6" s="560"/>
      <c r="N6" s="1180"/>
      <c r="O6" s="1181"/>
      <c r="Q6" s="558"/>
      <c r="R6" s="1165"/>
      <c r="S6" s="1165"/>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180"/>
      <c r="O7" s="1181"/>
      <c r="Q7" s="558"/>
      <c r="R7" s="1165"/>
      <c r="S7" s="1165"/>
    </row>
    <row r="8" spans="1:19" s="548" customFormat="1" ht="17.45" customHeight="1" thickBot="1">
      <c r="A8" s="569" t="s">
        <v>248</v>
      </c>
      <c r="B8" s="570">
        <f>N88+'Eigen informatie GS &amp; warmtenet'!B12</f>
        <v>814.5</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2327.1428571428573</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4872.54761659612</v>
      </c>
      <c r="C9" s="579">
        <f t="shared" ref="C9:L9" si="0">SUM(C7:C8)</f>
        <v>0</v>
      </c>
      <c r="D9" s="579">
        <f t="shared" si="0"/>
        <v>0</v>
      </c>
      <c r="E9" s="579">
        <f t="shared" si="0"/>
        <v>0</v>
      </c>
      <c r="F9" s="579">
        <f t="shared" si="0"/>
        <v>0</v>
      </c>
      <c r="G9" s="579">
        <f t="shared" si="0"/>
        <v>0</v>
      </c>
      <c r="H9" s="579">
        <f t="shared" si="0"/>
        <v>0</v>
      </c>
      <c r="I9" s="579">
        <f t="shared" si="0"/>
        <v>0</v>
      </c>
      <c r="J9" s="579">
        <f t="shared" si="0"/>
        <v>2327.1428571428573</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63.75">
      <c r="A63" s="611"/>
      <c r="B63" s="840">
        <v>24066</v>
      </c>
      <c r="C63" s="840">
        <v>3212</v>
      </c>
      <c r="D63" s="659" t="s">
        <v>877</v>
      </c>
      <c r="E63" s="659" t="s">
        <v>878</v>
      </c>
      <c r="F63" s="659" t="s">
        <v>879</v>
      </c>
      <c r="G63" s="659" t="s">
        <v>880</v>
      </c>
      <c r="H63" s="659" t="s">
        <v>881</v>
      </c>
      <c r="I63" s="659" t="s">
        <v>882</v>
      </c>
      <c r="J63" s="839">
        <v>34344</v>
      </c>
      <c r="K63" s="839">
        <v>37803</v>
      </c>
      <c r="L63" s="659" t="s">
        <v>883</v>
      </c>
      <c r="M63" s="659">
        <v>181</v>
      </c>
      <c r="N63" s="659">
        <v>814.5</v>
      </c>
      <c r="O63" s="659">
        <v>0</v>
      </c>
      <c r="P63" s="659">
        <v>0</v>
      </c>
      <c r="Q63" s="659">
        <v>0</v>
      </c>
      <c r="R63" s="659">
        <v>2327.1428571428573</v>
      </c>
      <c r="S63" s="659">
        <v>0</v>
      </c>
      <c r="T63" s="659">
        <v>0</v>
      </c>
      <c r="U63" s="659">
        <v>0</v>
      </c>
      <c r="V63" s="659">
        <v>0</v>
      </c>
      <c r="W63" s="659"/>
      <c r="X63" s="659">
        <v>1600</v>
      </c>
      <c r="Y63" s="659" t="s">
        <v>50</v>
      </c>
      <c r="Z63" s="660" t="s">
        <v>156</v>
      </c>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181</v>
      </c>
      <c r="N88" s="614">
        <f t="shared" ref="N88:W88" si="5">SUM(N63:N87)</f>
        <v>814.5</v>
      </c>
      <c r="O88" s="614">
        <f t="shared" si="5"/>
        <v>0</v>
      </c>
      <c r="P88" s="614">
        <f t="shared" si="5"/>
        <v>0</v>
      </c>
      <c r="Q88" s="614">
        <f t="shared" si="5"/>
        <v>0</v>
      </c>
      <c r="R88" s="614">
        <f t="shared" si="5"/>
        <v>2327.1428571428573</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181</v>
      </c>
      <c r="N90" s="614">
        <f t="shared" ref="N90:W90" si="7">SUMIF($Z$63:$Z$88,"tertiair",N63:N88)</f>
        <v>814.5</v>
      </c>
      <c r="O90" s="614">
        <f t="shared" si="7"/>
        <v>0</v>
      </c>
      <c r="P90" s="614">
        <f t="shared" si="7"/>
        <v>0</v>
      </c>
      <c r="Q90" s="614">
        <f t="shared" si="7"/>
        <v>0</v>
      </c>
      <c r="R90" s="614">
        <f t="shared" si="7"/>
        <v>2327.1428571428573</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15235.345000000001</v>
      </c>
      <c r="D10" s="703">
        <f ca="1">tertiair!C16</f>
        <v>0</v>
      </c>
      <c r="E10" s="703">
        <f ca="1">tertiair!D16</f>
        <v>6898.2109680000012</v>
      </c>
      <c r="F10" s="703">
        <f>tertiair!E16</f>
        <v>78.361488453791679</v>
      </c>
      <c r="G10" s="703">
        <f ca="1">tertiair!F16</f>
        <v>3221.5177562293034</v>
      </c>
      <c r="H10" s="703">
        <f>tertiair!G16</f>
        <v>0</v>
      </c>
      <c r="I10" s="703">
        <f>tertiair!H16</f>
        <v>0</v>
      </c>
      <c r="J10" s="703">
        <f>tertiair!I16</f>
        <v>0</v>
      </c>
      <c r="K10" s="703">
        <f>tertiair!J16</f>
        <v>0</v>
      </c>
      <c r="L10" s="703">
        <f>tertiair!K16</f>
        <v>0</v>
      </c>
      <c r="M10" s="703">
        <f ca="1">tertiair!L16</f>
        <v>0</v>
      </c>
      <c r="N10" s="703">
        <f>tertiair!M16</f>
        <v>0</v>
      </c>
      <c r="O10" s="703">
        <f ca="1">tertiair!N16</f>
        <v>0</v>
      </c>
      <c r="P10" s="703">
        <f>tertiair!O16</f>
        <v>0</v>
      </c>
      <c r="Q10" s="704">
        <f>tertiair!P16</f>
        <v>0</v>
      </c>
      <c r="R10" s="706">
        <f ca="1">SUM(C10:Q10)</f>
        <v>25433.435212683096</v>
      </c>
      <c r="S10" s="68"/>
    </row>
    <row r="11" spans="1:19" s="458" customFormat="1">
      <c r="A11" s="859" t="s">
        <v>225</v>
      </c>
      <c r="B11" s="864"/>
      <c r="C11" s="703">
        <f>huishoudens!B8</f>
        <v>28189.460508458353</v>
      </c>
      <c r="D11" s="703">
        <f>huishoudens!C8</f>
        <v>0</v>
      </c>
      <c r="E11" s="703">
        <f>huishoudens!D8</f>
        <v>27319.123853999998</v>
      </c>
      <c r="F11" s="703">
        <f>huishoudens!E8</f>
        <v>3551.078877017912</v>
      </c>
      <c r="G11" s="703">
        <f>huishoudens!F8</f>
        <v>52306.745390680342</v>
      </c>
      <c r="H11" s="703">
        <f>huishoudens!G8</f>
        <v>0</v>
      </c>
      <c r="I11" s="703">
        <f>huishoudens!H8</f>
        <v>0</v>
      </c>
      <c r="J11" s="703">
        <f>huishoudens!I8</f>
        <v>0</v>
      </c>
      <c r="K11" s="703">
        <f>huishoudens!J8</f>
        <v>132.53947905034198</v>
      </c>
      <c r="L11" s="703">
        <f>huishoudens!K8</f>
        <v>0</v>
      </c>
      <c r="M11" s="703">
        <f>huishoudens!L8</f>
        <v>0</v>
      </c>
      <c r="N11" s="703">
        <f>huishoudens!M8</f>
        <v>0</v>
      </c>
      <c r="O11" s="703">
        <f>huishoudens!N8</f>
        <v>7413.6081471181487</v>
      </c>
      <c r="P11" s="703">
        <f>huishoudens!O8</f>
        <v>96.926666666666677</v>
      </c>
      <c r="Q11" s="704">
        <f>huishoudens!P8</f>
        <v>343.2</v>
      </c>
      <c r="R11" s="706">
        <f>SUM(C11:Q11)</f>
        <v>119352.68292299176</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1534.625</v>
      </c>
      <c r="D13" s="703">
        <f>industrie!C18</f>
        <v>0</v>
      </c>
      <c r="E13" s="703">
        <f>industrie!D18</f>
        <v>1211.2678379999998</v>
      </c>
      <c r="F13" s="703">
        <f>industrie!E18</f>
        <v>21.469929052769782</v>
      </c>
      <c r="G13" s="703">
        <f>industrie!F18</f>
        <v>707.3139005762439</v>
      </c>
      <c r="H13" s="703">
        <f>industrie!G18</f>
        <v>0</v>
      </c>
      <c r="I13" s="703">
        <f>industrie!H18</f>
        <v>0</v>
      </c>
      <c r="J13" s="703">
        <f>industrie!I18</f>
        <v>0</v>
      </c>
      <c r="K13" s="703">
        <f>industrie!J18</f>
        <v>4.6069754981809599</v>
      </c>
      <c r="L13" s="703">
        <f>industrie!K18</f>
        <v>0</v>
      </c>
      <c r="M13" s="703">
        <f>industrie!L18</f>
        <v>0</v>
      </c>
      <c r="N13" s="703">
        <f>industrie!M18</f>
        <v>0</v>
      </c>
      <c r="O13" s="703">
        <f>industrie!N18</f>
        <v>53.186164585293625</v>
      </c>
      <c r="P13" s="703">
        <f>industrie!O18</f>
        <v>0</v>
      </c>
      <c r="Q13" s="704">
        <f>industrie!P18</f>
        <v>0</v>
      </c>
      <c r="R13" s="706">
        <f>SUM(C13:Q13)</f>
        <v>3532.4698077124881</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44959.430508458354</v>
      </c>
      <c r="D15" s="708">
        <f t="shared" ref="D15:Q15" ca="1" si="0">SUM(D9:D14)</f>
        <v>0</v>
      </c>
      <c r="E15" s="708">
        <f t="shared" ca="1" si="0"/>
        <v>35428.602659999997</v>
      </c>
      <c r="F15" s="708">
        <f t="shared" si="0"/>
        <v>3650.9102945244731</v>
      </c>
      <c r="G15" s="708">
        <f t="shared" ca="1" si="0"/>
        <v>56235.577047485887</v>
      </c>
      <c r="H15" s="708">
        <f t="shared" si="0"/>
        <v>0</v>
      </c>
      <c r="I15" s="708">
        <f t="shared" si="0"/>
        <v>0</v>
      </c>
      <c r="J15" s="708">
        <f t="shared" si="0"/>
        <v>0</v>
      </c>
      <c r="K15" s="708">
        <f t="shared" si="0"/>
        <v>137.14645454852294</v>
      </c>
      <c r="L15" s="708">
        <f t="shared" si="0"/>
        <v>0</v>
      </c>
      <c r="M15" s="708">
        <f t="shared" ca="1" si="0"/>
        <v>0</v>
      </c>
      <c r="N15" s="708">
        <f t="shared" si="0"/>
        <v>0</v>
      </c>
      <c r="O15" s="708">
        <f t="shared" ca="1" si="0"/>
        <v>7466.794311703442</v>
      </c>
      <c r="P15" s="708">
        <f t="shared" si="0"/>
        <v>96.926666666666677</v>
      </c>
      <c r="Q15" s="709">
        <f t="shared" si="0"/>
        <v>343.2</v>
      </c>
      <c r="R15" s="710">
        <f ca="1">SUM(R9:R14)</f>
        <v>148318.58794338733</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3823.2994045897822</v>
      </c>
      <c r="I18" s="703">
        <f>transport!H54</f>
        <v>0</v>
      </c>
      <c r="J18" s="703">
        <f>transport!I54</f>
        <v>0</v>
      </c>
      <c r="K18" s="703">
        <f>transport!J54</f>
        <v>0</v>
      </c>
      <c r="L18" s="703">
        <f>transport!K54</f>
        <v>0</v>
      </c>
      <c r="M18" s="703">
        <f>transport!L54</f>
        <v>0</v>
      </c>
      <c r="N18" s="703">
        <f>transport!M54</f>
        <v>167.88738378241038</v>
      </c>
      <c r="O18" s="703">
        <f>transport!N54</f>
        <v>0</v>
      </c>
      <c r="P18" s="703">
        <f>transport!O54</f>
        <v>0</v>
      </c>
      <c r="Q18" s="704">
        <f>transport!P54</f>
        <v>0</v>
      </c>
      <c r="R18" s="706">
        <f>SUM(C18:Q18)</f>
        <v>3991.1867883721925</v>
      </c>
      <c r="S18" s="68"/>
    </row>
    <row r="19" spans="1:19" s="458" customFormat="1" ht="15" thickBot="1">
      <c r="A19" s="859" t="s">
        <v>307</v>
      </c>
      <c r="B19" s="864"/>
      <c r="C19" s="712">
        <f>transport!B14</f>
        <v>1.6855356957560792</v>
      </c>
      <c r="D19" s="712">
        <f>transport!C14</f>
        <v>0</v>
      </c>
      <c r="E19" s="712">
        <f>transport!D14</f>
        <v>5.1462226531673663</v>
      </c>
      <c r="F19" s="712">
        <f>transport!E14</f>
        <v>293.64716847285291</v>
      </c>
      <c r="G19" s="712">
        <f>transport!F14</f>
        <v>0</v>
      </c>
      <c r="H19" s="712">
        <f>transport!G14</f>
        <v>61384.279794047012</v>
      </c>
      <c r="I19" s="712">
        <f>transport!H14</f>
        <v>11342.845516754684</v>
      </c>
      <c r="J19" s="712">
        <f>transport!I14</f>
        <v>0</v>
      </c>
      <c r="K19" s="712">
        <f>transport!J14</f>
        <v>0</v>
      </c>
      <c r="L19" s="712">
        <f>transport!K14</f>
        <v>0</v>
      </c>
      <c r="M19" s="712">
        <f>transport!L14</f>
        <v>0</v>
      </c>
      <c r="N19" s="712">
        <f>transport!M14</f>
        <v>3252.3179752034589</v>
      </c>
      <c r="O19" s="712">
        <f>transport!N14</f>
        <v>0</v>
      </c>
      <c r="P19" s="712">
        <f>transport!O14</f>
        <v>0</v>
      </c>
      <c r="Q19" s="713">
        <f>transport!P14</f>
        <v>0</v>
      </c>
      <c r="R19" s="714">
        <f>SUM(C19:Q19)</f>
        <v>76279.922212826932</v>
      </c>
      <c r="S19" s="68"/>
    </row>
    <row r="20" spans="1:19" s="458" customFormat="1" ht="15.75" thickBot="1">
      <c r="A20" s="715" t="s">
        <v>230</v>
      </c>
      <c r="B20" s="867"/>
      <c r="C20" s="862">
        <f>SUM(C17:C19)</f>
        <v>1.6855356957560792</v>
      </c>
      <c r="D20" s="716">
        <f t="shared" ref="D20:R20" si="1">SUM(D17:D19)</f>
        <v>0</v>
      </c>
      <c r="E20" s="716">
        <f t="shared" si="1"/>
        <v>5.1462226531673663</v>
      </c>
      <c r="F20" s="716">
        <f t="shared" si="1"/>
        <v>293.64716847285291</v>
      </c>
      <c r="G20" s="716">
        <f t="shared" si="1"/>
        <v>0</v>
      </c>
      <c r="H20" s="716">
        <f t="shared" si="1"/>
        <v>65207.579198636791</v>
      </c>
      <c r="I20" s="716">
        <f t="shared" si="1"/>
        <v>11342.845516754684</v>
      </c>
      <c r="J20" s="716">
        <f t="shared" si="1"/>
        <v>0</v>
      </c>
      <c r="K20" s="716">
        <f t="shared" si="1"/>
        <v>0</v>
      </c>
      <c r="L20" s="716">
        <f t="shared" si="1"/>
        <v>0</v>
      </c>
      <c r="M20" s="716">
        <f t="shared" si="1"/>
        <v>0</v>
      </c>
      <c r="N20" s="716">
        <f t="shared" si="1"/>
        <v>3420.2053589858692</v>
      </c>
      <c r="O20" s="716">
        <f t="shared" si="1"/>
        <v>0</v>
      </c>
      <c r="P20" s="716">
        <f t="shared" si="1"/>
        <v>0</v>
      </c>
      <c r="Q20" s="717">
        <f t="shared" si="1"/>
        <v>0</v>
      </c>
      <c r="R20" s="718">
        <f t="shared" si="1"/>
        <v>80271.109001199118</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750.95100000000002</v>
      </c>
      <c r="D22" s="712">
        <f>+landbouw!C8</f>
        <v>0</v>
      </c>
      <c r="E22" s="712">
        <f>+landbouw!D8</f>
        <v>51.741426000000004</v>
      </c>
      <c r="F22" s="712">
        <f>+landbouw!E8</f>
        <v>7.0744615736749985</v>
      </c>
      <c r="G22" s="712">
        <f>+landbouw!F8</f>
        <v>2450.6023317496961</v>
      </c>
      <c r="H22" s="712">
        <f>+landbouw!G8</f>
        <v>0</v>
      </c>
      <c r="I22" s="712">
        <f>+landbouw!H8</f>
        <v>0</v>
      </c>
      <c r="J22" s="712">
        <f>+landbouw!I8</f>
        <v>0</v>
      </c>
      <c r="K22" s="712">
        <f>+landbouw!J8</f>
        <v>92.896291324962363</v>
      </c>
      <c r="L22" s="712">
        <f>+landbouw!K8</f>
        <v>0</v>
      </c>
      <c r="M22" s="712">
        <f>+landbouw!L8</f>
        <v>0</v>
      </c>
      <c r="N22" s="712">
        <f>+landbouw!M8</f>
        <v>0</v>
      </c>
      <c r="O22" s="712">
        <f>+landbouw!N8</f>
        <v>0</v>
      </c>
      <c r="P22" s="712">
        <f>+landbouw!O8</f>
        <v>0</v>
      </c>
      <c r="Q22" s="713">
        <f>+landbouw!P8</f>
        <v>0</v>
      </c>
      <c r="R22" s="714">
        <f>SUM(C22:Q22)</f>
        <v>3353.2655106483335</v>
      </c>
      <c r="S22" s="68"/>
    </row>
    <row r="23" spans="1:19" s="458" customFormat="1" ht="17.25" thickTop="1" thickBot="1">
      <c r="A23" s="719" t="s">
        <v>116</v>
      </c>
      <c r="B23" s="853"/>
      <c r="C23" s="720">
        <f ca="1">C20+C15+C22</f>
        <v>45712.067044154108</v>
      </c>
      <c r="D23" s="720">
        <f t="shared" ref="D23:Q23" ca="1" si="2">D20+D15+D22</f>
        <v>0</v>
      </c>
      <c r="E23" s="720">
        <f t="shared" ca="1" si="2"/>
        <v>35485.490308653163</v>
      </c>
      <c r="F23" s="720">
        <f t="shared" si="2"/>
        <v>3951.631924571001</v>
      </c>
      <c r="G23" s="720">
        <f t="shared" ca="1" si="2"/>
        <v>58686.179379235582</v>
      </c>
      <c r="H23" s="720">
        <f t="shared" si="2"/>
        <v>65207.579198636791</v>
      </c>
      <c r="I23" s="720">
        <f t="shared" si="2"/>
        <v>11342.845516754684</v>
      </c>
      <c r="J23" s="720">
        <f t="shared" si="2"/>
        <v>0</v>
      </c>
      <c r="K23" s="720">
        <f t="shared" si="2"/>
        <v>230.0427458734853</v>
      </c>
      <c r="L23" s="720">
        <f t="shared" si="2"/>
        <v>0</v>
      </c>
      <c r="M23" s="720">
        <f t="shared" ca="1" si="2"/>
        <v>0</v>
      </c>
      <c r="N23" s="720">
        <f t="shared" si="2"/>
        <v>3420.2053589858692</v>
      </c>
      <c r="O23" s="720">
        <f t="shared" ca="1" si="2"/>
        <v>7466.794311703442</v>
      </c>
      <c r="P23" s="720">
        <f t="shared" si="2"/>
        <v>96.926666666666677</v>
      </c>
      <c r="Q23" s="721">
        <f t="shared" si="2"/>
        <v>343.2</v>
      </c>
      <c r="R23" s="722">
        <f ca="1">R20+R15+R22</f>
        <v>231942.96245523481</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3008.1142692620551</v>
      </c>
      <c r="D36" s="703">
        <f ca="1">tertiair!C20</f>
        <v>0</v>
      </c>
      <c r="E36" s="703">
        <f ca="1">tertiair!D20</f>
        <v>1393.4386155360003</v>
      </c>
      <c r="F36" s="703">
        <f>tertiair!E20</f>
        <v>17.788057879010712</v>
      </c>
      <c r="G36" s="703">
        <f ca="1">tertiair!F20</f>
        <v>860.14524091322403</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5279.4861835902902</v>
      </c>
    </row>
    <row r="37" spans="1:18">
      <c r="A37" s="874" t="s">
        <v>225</v>
      </c>
      <c r="B37" s="881"/>
      <c r="C37" s="703">
        <f ca="1">huishoudens!B12</f>
        <v>5565.815437608584</v>
      </c>
      <c r="D37" s="703">
        <f ca="1">huishoudens!C12</f>
        <v>0</v>
      </c>
      <c r="E37" s="703">
        <f>huishoudens!D12</f>
        <v>5518.4630185079995</v>
      </c>
      <c r="F37" s="703">
        <f>huishoudens!E12</f>
        <v>806.09490508306601</v>
      </c>
      <c r="G37" s="703">
        <f>huishoudens!F12</f>
        <v>13965.901019311652</v>
      </c>
      <c r="H37" s="703">
        <f>huishoudens!G12</f>
        <v>0</v>
      </c>
      <c r="I37" s="703">
        <f>huishoudens!H12</f>
        <v>0</v>
      </c>
      <c r="J37" s="703">
        <f>huishoudens!I12</f>
        <v>0</v>
      </c>
      <c r="K37" s="703">
        <f>huishoudens!J12</f>
        <v>46.918975583821059</v>
      </c>
      <c r="L37" s="703">
        <f>huishoudens!K12</f>
        <v>0</v>
      </c>
      <c r="M37" s="703">
        <f>huishoudens!L12</f>
        <v>0</v>
      </c>
      <c r="N37" s="703">
        <f>huishoudens!M12</f>
        <v>0</v>
      </c>
      <c r="O37" s="703">
        <f>huishoudens!N12</f>
        <v>0</v>
      </c>
      <c r="P37" s="703">
        <f>huishoudens!O12</f>
        <v>0</v>
      </c>
      <c r="Q37" s="813">
        <f>huishoudens!P12</f>
        <v>0</v>
      </c>
      <c r="R37" s="906">
        <f ca="1">SUM(C37:Q37)</f>
        <v>25903.193356095118</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303.00117000739272</v>
      </c>
      <c r="D39" s="703">
        <f ca="1">industrie!C22</f>
        <v>0</v>
      </c>
      <c r="E39" s="703">
        <f>industrie!D22</f>
        <v>244.67610327599996</v>
      </c>
      <c r="F39" s="703">
        <f>industrie!E22</f>
        <v>4.873673894978741</v>
      </c>
      <c r="G39" s="703">
        <f>industrie!F22</f>
        <v>188.85281145385713</v>
      </c>
      <c r="H39" s="703">
        <f>industrie!G22</f>
        <v>0</v>
      </c>
      <c r="I39" s="703">
        <f>industrie!H22</f>
        <v>0</v>
      </c>
      <c r="J39" s="703">
        <f>industrie!I22</f>
        <v>0</v>
      </c>
      <c r="K39" s="703">
        <f>industrie!J22</f>
        <v>1.6308693263560596</v>
      </c>
      <c r="L39" s="703">
        <f>industrie!K22</f>
        <v>0</v>
      </c>
      <c r="M39" s="703">
        <f>industrie!L22</f>
        <v>0</v>
      </c>
      <c r="N39" s="703">
        <f>industrie!M22</f>
        <v>0</v>
      </c>
      <c r="O39" s="703">
        <f>industrie!N22</f>
        <v>0</v>
      </c>
      <c r="P39" s="703">
        <f>industrie!O22</f>
        <v>0</v>
      </c>
      <c r="Q39" s="813">
        <f>industrie!P22</f>
        <v>0</v>
      </c>
      <c r="R39" s="907">
        <f ca="1">SUM(C39:Q39)</f>
        <v>743.03462795858468</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8876.930876878032</v>
      </c>
      <c r="D41" s="748">
        <f t="shared" ref="D41:R41" ca="1" si="4">SUM(D35:D40)</f>
        <v>0</v>
      </c>
      <c r="E41" s="748">
        <f t="shared" ca="1" si="4"/>
        <v>7156.577737319999</v>
      </c>
      <c r="F41" s="748">
        <f t="shared" si="4"/>
        <v>828.75663685705547</v>
      </c>
      <c r="G41" s="748">
        <f t="shared" ca="1" si="4"/>
        <v>15014.899071678732</v>
      </c>
      <c r="H41" s="748">
        <f t="shared" si="4"/>
        <v>0</v>
      </c>
      <c r="I41" s="748">
        <f t="shared" si="4"/>
        <v>0</v>
      </c>
      <c r="J41" s="748">
        <f t="shared" si="4"/>
        <v>0</v>
      </c>
      <c r="K41" s="748">
        <f t="shared" si="4"/>
        <v>48.549844910177121</v>
      </c>
      <c r="L41" s="748">
        <f t="shared" si="4"/>
        <v>0</v>
      </c>
      <c r="M41" s="748">
        <f t="shared" ca="1" si="4"/>
        <v>0</v>
      </c>
      <c r="N41" s="748">
        <f t="shared" si="4"/>
        <v>0</v>
      </c>
      <c r="O41" s="748">
        <f t="shared" ca="1" si="4"/>
        <v>0</v>
      </c>
      <c r="P41" s="748">
        <f t="shared" si="4"/>
        <v>0</v>
      </c>
      <c r="Q41" s="749">
        <f t="shared" si="4"/>
        <v>0</v>
      </c>
      <c r="R41" s="750">
        <f t="shared" ca="1" si="4"/>
        <v>31925.714167643993</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1020.8209410254719</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1020.8209410254719</v>
      </c>
    </row>
    <row r="45" spans="1:18" ht="15" thickBot="1">
      <c r="A45" s="877" t="s">
        <v>307</v>
      </c>
      <c r="B45" s="887"/>
      <c r="C45" s="712">
        <f ca="1">transport!B18</f>
        <v>0.33279745078003858</v>
      </c>
      <c r="D45" s="712">
        <f>transport!C18</f>
        <v>0</v>
      </c>
      <c r="E45" s="712">
        <f>transport!D18</f>
        <v>1.0395369759398081</v>
      </c>
      <c r="F45" s="712">
        <f>transport!E18</f>
        <v>66.657907243337618</v>
      </c>
      <c r="G45" s="712">
        <f>transport!F18</f>
        <v>0</v>
      </c>
      <c r="H45" s="712">
        <f>transport!G18</f>
        <v>16389.602705010551</v>
      </c>
      <c r="I45" s="712">
        <f>transport!H18</f>
        <v>2824.3685336719163</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19282.001480352526</v>
      </c>
    </row>
    <row r="46" spans="1:18" ht="15.75" thickBot="1">
      <c r="A46" s="875" t="s">
        <v>230</v>
      </c>
      <c r="B46" s="888"/>
      <c r="C46" s="748">
        <f t="shared" ref="C46:R46" ca="1" si="5">SUM(C43:C45)</f>
        <v>0.33279745078003858</v>
      </c>
      <c r="D46" s="748">
        <f t="shared" ca="1" si="5"/>
        <v>0</v>
      </c>
      <c r="E46" s="748">
        <f t="shared" si="5"/>
        <v>1.0395369759398081</v>
      </c>
      <c r="F46" s="748">
        <f t="shared" si="5"/>
        <v>66.657907243337618</v>
      </c>
      <c r="G46" s="748">
        <f t="shared" si="5"/>
        <v>0</v>
      </c>
      <c r="H46" s="748">
        <f t="shared" si="5"/>
        <v>17410.423646036023</v>
      </c>
      <c r="I46" s="748">
        <f t="shared" si="5"/>
        <v>2824.3685336719163</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20302.822421377998</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148.27011916150303</v>
      </c>
      <c r="D48" s="703">
        <f ca="1">+landbouw!C12</f>
        <v>0</v>
      </c>
      <c r="E48" s="703">
        <f>+landbouw!D12</f>
        <v>10.451768052000002</v>
      </c>
      <c r="F48" s="703">
        <f>+landbouw!E12</f>
        <v>1.6059027772242247</v>
      </c>
      <c r="G48" s="703">
        <f>+landbouw!F12</f>
        <v>654.31082257716889</v>
      </c>
      <c r="H48" s="703">
        <f>+landbouw!G12</f>
        <v>0</v>
      </c>
      <c r="I48" s="703">
        <f>+landbouw!H12</f>
        <v>0</v>
      </c>
      <c r="J48" s="703">
        <f>+landbouw!I12</f>
        <v>0</v>
      </c>
      <c r="K48" s="703">
        <f>+landbouw!J12</f>
        <v>32.885287129036676</v>
      </c>
      <c r="L48" s="703">
        <f>+landbouw!K12</f>
        <v>0</v>
      </c>
      <c r="M48" s="703">
        <f>+landbouw!L12</f>
        <v>0</v>
      </c>
      <c r="N48" s="703">
        <f>+landbouw!M12</f>
        <v>0</v>
      </c>
      <c r="O48" s="703">
        <f>+landbouw!N12</f>
        <v>0</v>
      </c>
      <c r="P48" s="703">
        <f>+landbouw!O12</f>
        <v>0</v>
      </c>
      <c r="Q48" s="704">
        <f>+landbouw!P12</f>
        <v>0</v>
      </c>
      <c r="R48" s="746">
        <f ca="1">SUM(C48:Q48)</f>
        <v>847.52389969693286</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9025.5337934903146</v>
      </c>
      <c r="D53" s="758">
        <f t="shared" ref="D53:Q53" ca="1" si="6">D41+D46+D48</f>
        <v>0</v>
      </c>
      <c r="E53" s="758">
        <f t="shared" ca="1" si="6"/>
        <v>7168.0690423479391</v>
      </c>
      <c r="F53" s="758">
        <f t="shared" si="6"/>
        <v>897.02044687761725</v>
      </c>
      <c r="G53" s="758">
        <f t="shared" ca="1" si="6"/>
        <v>15669.209894255901</v>
      </c>
      <c r="H53" s="758">
        <f t="shared" si="6"/>
        <v>17410.423646036023</v>
      </c>
      <c r="I53" s="758">
        <f t="shared" si="6"/>
        <v>2824.3685336719163</v>
      </c>
      <c r="J53" s="758">
        <f t="shared" si="6"/>
        <v>0</v>
      </c>
      <c r="K53" s="758">
        <f t="shared" si="6"/>
        <v>81.435132039213798</v>
      </c>
      <c r="L53" s="758">
        <f t="shared" si="6"/>
        <v>0</v>
      </c>
      <c r="M53" s="758">
        <f t="shared" ca="1" si="6"/>
        <v>0</v>
      </c>
      <c r="N53" s="758">
        <f t="shared" si="6"/>
        <v>0</v>
      </c>
      <c r="O53" s="758">
        <f t="shared" ca="1" si="6"/>
        <v>0</v>
      </c>
      <c r="P53" s="758">
        <f>P41+P46+P48</f>
        <v>0</v>
      </c>
      <c r="Q53" s="759">
        <f t="shared" si="6"/>
        <v>0</v>
      </c>
      <c r="R53" s="760">
        <f ca="1">R41+R46+R48</f>
        <v>53076.060488718926</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0.19744313432101832</v>
      </c>
      <c r="D55" s="824">
        <f t="shared" ca="1" si="7"/>
        <v>0</v>
      </c>
      <c r="E55" s="824">
        <f t="shared" ca="1" si="7"/>
        <v>0.20200000000000001</v>
      </c>
      <c r="F55" s="824">
        <f t="shared" si="7"/>
        <v>0.22700000000000001</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4058.04761659612</v>
      </c>
      <c r="C66" s="780">
        <f>'lokale energieproductie'!B6</f>
        <v>4058.04761659612</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814.5</v>
      </c>
      <c r="C68" s="779">
        <f>B68*IFERROR(SUM(J68:L68)/SUM(D68:M68),0)</f>
        <v>814.5</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2327.1428571428573</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4872.54761659612</v>
      </c>
      <c r="C69" s="788">
        <f>SUM(C64:C68)</f>
        <v>4872.54761659612</v>
      </c>
      <c r="D69" s="789">
        <f t="shared" ref="D69:M69" si="8">SUM(D67:D68)</f>
        <v>0</v>
      </c>
      <c r="E69" s="789">
        <f t="shared" si="8"/>
        <v>0</v>
      </c>
      <c r="F69" s="789">
        <f t="shared" si="8"/>
        <v>0</v>
      </c>
      <c r="G69" s="789">
        <f t="shared" si="8"/>
        <v>0</v>
      </c>
      <c r="H69" s="789">
        <f t="shared" si="8"/>
        <v>0</v>
      </c>
      <c r="I69" s="789">
        <f t="shared" si="8"/>
        <v>0</v>
      </c>
      <c r="J69" s="789">
        <f t="shared" si="8"/>
        <v>0</v>
      </c>
      <c r="K69" s="789">
        <f t="shared" si="8"/>
        <v>2327.1428571428573</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28189.460508458353</v>
      </c>
      <c r="C4" s="462">
        <f>huishoudens!C8</f>
        <v>0</v>
      </c>
      <c r="D4" s="462">
        <f>huishoudens!D8</f>
        <v>27319.123853999998</v>
      </c>
      <c r="E4" s="462">
        <f>huishoudens!E8</f>
        <v>3551.078877017912</v>
      </c>
      <c r="F4" s="462">
        <f>huishoudens!F8</f>
        <v>52306.745390680342</v>
      </c>
      <c r="G4" s="462">
        <f>huishoudens!G8</f>
        <v>0</v>
      </c>
      <c r="H4" s="462">
        <f>huishoudens!H8</f>
        <v>0</v>
      </c>
      <c r="I4" s="462">
        <f>huishoudens!I8</f>
        <v>0</v>
      </c>
      <c r="J4" s="462">
        <f>huishoudens!J8</f>
        <v>132.53947905034198</v>
      </c>
      <c r="K4" s="462">
        <f>huishoudens!K8</f>
        <v>0</v>
      </c>
      <c r="L4" s="462">
        <f>huishoudens!L8</f>
        <v>0</v>
      </c>
      <c r="M4" s="462">
        <f>huishoudens!M8</f>
        <v>0</v>
      </c>
      <c r="N4" s="462">
        <f>huishoudens!N8</f>
        <v>7413.6081471181487</v>
      </c>
      <c r="O4" s="462">
        <f>huishoudens!O8</f>
        <v>96.926666666666677</v>
      </c>
      <c r="P4" s="463">
        <f>huishoudens!P8</f>
        <v>343.2</v>
      </c>
      <c r="Q4" s="464">
        <f>SUM(B4:P4)</f>
        <v>119352.68292299176</v>
      </c>
    </row>
    <row r="5" spans="1:17">
      <c r="A5" s="461" t="s">
        <v>156</v>
      </c>
      <c r="B5" s="462">
        <f ca="1">tertiair!B16</f>
        <v>14354.838000000002</v>
      </c>
      <c r="C5" s="462">
        <f ca="1">tertiair!C16</f>
        <v>0</v>
      </c>
      <c r="D5" s="462">
        <f ca="1">tertiair!D16</f>
        <v>6898.2109680000012</v>
      </c>
      <c r="E5" s="462">
        <f>tertiair!E16</f>
        <v>78.361488453791679</v>
      </c>
      <c r="F5" s="462">
        <f ca="1">tertiair!F16</f>
        <v>3221.5177562293034</v>
      </c>
      <c r="G5" s="462">
        <f>tertiair!G16</f>
        <v>0</v>
      </c>
      <c r="H5" s="462">
        <f>tertiair!H16</f>
        <v>0</v>
      </c>
      <c r="I5" s="462">
        <f>tertiair!I16</f>
        <v>0</v>
      </c>
      <c r="J5" s="462">
        <f>tertiair!J16</f>
        <v>0</v>
      </c>
      <c r="K5" s="462">
        <f>tertiair!K16</f>
        <v>0</v>
      </c>
      <c r="L5" s="462">
        <f ca="1">tertiair!L16</f>
        <v>0</v>
      </c>
      <c r="M5" s="462">
        <f>tertiair!M16</f>
        <v>0</v>
      </c>
      <c r="N5" s="462">
        <f ca="1">tertiair!N16</f>
        <v>0</v>
      </c>
      <c r="O5" s="462">
        <f>tertiair!O16</f>
        <v>0</v>
      </c>
      <c r="P5" s="463">
        <f>tertiair!P16</f>
        <v>0</v>
      </c>
      <c r="Q5" s="461">
        <f t="shared" ref="Q5:Q13" ca="1" si="0">SUM(B5:P5)</f>
        <v>24552.928212683099</v>
      </c>
    </row>
    <row r="6" spans="1:17">
      <c r="A6" s="461" t="s">
        <v>194</v>
      </c>
      <c r="B6" s="462">
        <f>'openbare verlichting'!B8</f>
        <v>880.50699999999995</v>
      </c>
      <c r="C6" s="462"/>
      <c r="D6" s="462"/>
      <c r="E6" s="462"/>
      <c r="F6" s="462"/>
      <c r="G6" s="462"/>
      <c r="H6" s="462"/>
      <c r="I6" s="462"/>
      <c r="J6" s="462"/>
      <c r="K6" s="462"/>
      <c r="L6" s="462"/>
      <c r="M6" s="462"/>
      <c r="N6" s="462"/>
      <c r="O6" s="462"/>
      <c r="P6" s="463"/>
      <c r="Q6" s="461">
        <f t="shared" si="0"/>
        <v>880.50699999999995</v>
      </c>
    </row>
    <row r="7" spans="1:17">
      <c r="A7" s="461" t="s">
        <v>112</v>
      </c>
      <c r="B7" s="462">
        <f>landbouw!B8</f>
        <v>750.95100000000002</v>
      </c>
      <c r="C7" s="462">
        <f>landbouw!C8</f>
        <v>0</v>
      </c>
      <c r="D7" s="462">
        <f>landbouw!D8</f>
        <v>51.741426000000004</v>
      </c>
      <c r="E7" s="462">
        <f>landbouw!E8</f>
        <v>7.0744615736749985</v>
      </c>
      <c r="F7" s="462">
        <f>landbouw!F8</f>
        <v>2450.6023317496961</v>
      </c>
      <c r="G7" s="462">
        <f>landbouw!G8</f>
        <v>0</v>
      </c>
      <c r="H7" s="462">
        <f>landbouw!H8</f>
        <v>0</v>
      </c>
      <c r="I7" s="462">
        <f>landbouw!I8</f>
        <v>0</v>
      </c>
      <c r="J7" s="462">
        <f>landbouw!J8</f>
        <v>92.896291324962363</v>
      </c>
      <c r="K7" s="462">
        <f>landbouw!K8</f>
        <v>0</v>
      </c>
      <c r="L7" s="462">
        <f>landbouw!L8</f>
        <v>0</v>
      </c>
      <c r="M7" s="462">
        <f>landbouw!M8</f>
        <v>0</v>
      </c>
      <c r="N7" s="462">
        <f>landbouw!N8</f>
        <v>0</v>
      </c>
      <c r="O7" s="462">
        <f>landbouw!O8</f>
        <v>0</v>
      </c>
      <c r="P7" s="463">
        <f>landbouw!P8</f>
        <v>0</v>
      </c>
      <c r="Q7" s="461">
        <f t="shared" si="0"/>
        <v>3353.2655106483335</v>
      </c>
    </row>
    <row r="8" spans="1:17">
      <c r="A8" s="461" t="s">
        <v>685</v>
      </c>
      <c r="B8" s="462">
        <f>industrie!B18</f>
        <v>1534.625</v>
      </c>
      <c r="C8" s="462">
        <f>industrie!C18</f>
        <v>0</v>
      </c>
      <c r="D8" s="462">
        <f>industrie!D18</f>
        <v>1211.2678379999998</v>
      </c>
      <c r="E8" s="462">
        <f>industrie!E18</f>
        <v>21.469929052769782</v>
      </c>
      <c r="F8" s="462">
        <f>industrie!F18</f>
        <v>707.3139005762439</v>
      </c>
      <c r="G8" s="462">
        <f>industrie!G18</f>
        <v>0</v>
      </c>
      <c r="H8" s="462">
        <f>industrie!H18</f>
        <v>0</v>
      </c>
      <c r="I8" s="462">
        <f>industrie!I18</f>
        <v>0</v>
      </c>
      <c r="J8" s="462">
        <f>industrie!J18</f>
        <v>4.6069754981809599</v>
      </c>
      <c r="K8" s="462">
        <f>industrie!K18</f>
        <v>0</v>
      </c>
      <c r="L8" s="462">
        <f>industrie!L18</f>
        <v>0</v>
      </c>
      <c r="M8" s="462">
        <f>industrie!M18</f>
        <v>0</v>
      </c>
      <c r="N8" s="462">
        <f>industrie!N18</f>
        <v>53.186164585293625</v>
      </c>
      <c r="O8" s="462">
        <f>industrie!O18</f>
        <v>0</v>
      </c>
      <c r="P8" s="463">
        <f>industrie!P18</f>
        <v>0</v>
      </c>
      <c r="Q8" s="461">
        <f t="shared" si="0"/>
        <v>3532.4698077124881</v>
      </c>
    </row>
    <row r="9" spans="1:17" s="467" customFormat="1">
      <c r="A9" s="465" t="s">
        <v>579</v>
      </c>
      <c r="B9" s="466">
        <f>transport!B14</f>
        <v>1.6855356957560792</v>
      </c>
      <c r="C9" s="466">
        <f>transport!C14</f>
        <v>0</v>
      </c>
      <c r="D9" s="466">
        <f>transport!D14</f>
        <v>5.1462226531673663</v>
      </c>
      <c r="E9" s="466">
        <f>transport!E14</f>
        <v>293.64716847285291</v>
      </c>
      <c r="F9" s="466">
        <f>transport!F14</f>
        <v>0</v>
      </c>
      <c r="G9" s="466">
        <f>transport!G14</f>
        <v>61384.279794047012</v>
      </c>
      <c r="H9" s="466">
        <f>transport!H14</f>
        <v>11342.845516754684</v>
      </c>
      <c r="I9" s="466">
        <f>transport!I14</f>
        <v>0</v>
      </c>
      <c r="J9" s="466">
        <f>transport!J14</f>
        <v>0</v>
      </c>
      <c r="K9" s="466">
        <f>transport!K14</f>
        <v>0</v>
      </c>
      <c r="L9" s="466">
        <f>transport!L14</f>
        <v>0</v>
      </c>
      <c r="M9" s="466">
        <f>transport!M14</f>
        <v>3252.3179752034589</v>
      </c>
      <c r="N9" s="466">
        <f>transport!N14</f>
        <v>0</v>
      </c>
      <c r="O9" s="466">
        <f>transport!O14</f>
        <v>0</v>
      </c>
      <c r="P9" s="466">
        <f>transport!P14</f>
        <v>0</v>
      </c>
      <c r="Q9" s="465">
        <f>SUM(B9:P9)</f>
        <v>76279.922212826932</v>
      </c>
    </row>
    <row r="10" spans="1:17">
      <c r="A10" s="461" t="s">
        <v>569</v>
      </c>
      <c r="B10" s="462">
        <f>transport!B54</f>
        <v>0</v>
      </c>
      <c r="C10" s="462">
        <f>transport!C54</f>
        <v>0</v>
      </c>
      <c r="D10" s="462">
        <f>transport!D54</f>
        <v>0</v>
      </c>
      <c r="E10" s="462">
        <f>transport!E54</f>
        <v>0</v>
      </c>
      <c r="F10" s="462">
        <f>transport!F54</f>
        <v>0</v>
      </c>
      <c r="G10" s="462">
        <f>transport!G54</f>
        <v>3823.2994045897822</v>
      </c>
      <c r="H10" s="462">
        <f>transport!H54</f>
        <v>0</v>
      </c>
      <c r="I10" s="462">
        <f>transport!I54</f>
        <v>0</v>
      </c>
      <c r="J10" s="462">
        <f>transport!J54</f>
        <v>0</v>
      </c>
      <c r="K10" s="462">
        <f>transport!K54</f>
        <v>0</v>
      </c>
      <c r="L10" s="462">
        <f>transport!L54</f>
        <v>0</v>
      </c>
      <c r="M10" s="462">
        <f>transport!M54</f>
        <v>167.88738378241038</v>
      </c>
      <c r="N10" s="462">
        <f>transport!N54</f>
        <v>0</v>
      </c>
      <c r="O10" s="462">
        <f>transport!O54</f>
        <v>0</v>
      </c>
      <c r="P10" s="463">
        <f>transport!P54</f>
        <v>0</v>
      </c>
      <c r="Q10" s="461">
        <f t="shared" si="0"/>
        <v>3991.1867883721925</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45712.067044154108</v>
      </c>
      <c r="C14" s="472">
        <f t="shared" ref="C14:Q14" ca="1" si="1">SUM(C4:C13)</f>
        <v>0</v>
      </c>
      <c r="D14" s="472">
        <f t="shared" ca="1" si="1"/>
        <v>35485.490308653163</v>
      </c>
      <c r="E14" s="472">
        <f t="shared" si="1"/>
        <v>3951.631924571001</v>
      </c>
      <c r="F14" s="472">
        <f t="shared" ca="1" si="1"/>
        <v>58686.179379235582</v>
      </c>
      <c r="G14" s="472">
        <f t="shared" si="1"/>
        <v>65207.579198636791</v>
      </c>
      <c r="H14" s="472">
        <f t="shared" si="1"/>
        <v>11342.845516754684</v>
      </c>
      <c r="I14" s="472">
        <f t="shared" si="1"/>
        <v>0</v>
      </c>
      <c r="J14" s="472">
        <f t="shared" si="1"/>
        <v>230.0427458734853</v>
      </c>
      <c r="K14" s="472">
        <f t="shared" si="1"/>
        <v>0</v>
      </c>
      <c r="L14" s="472">
        <f t="shared" ca="1" si="1"/>
        <v>0</v>
      </c>
      <c r="M14" s="472">
        <f t="shared" si="1"/>
        <v>3420.2053589858692</v>
      </c>
      <c r="N14" s="472">
        <f t="shared" ca="1" si="1"/>
        <v>7466.794311703442</v>
      </c>
      <c r="O14" s="472">
        <f t="shared" si="1"/>
        <v>96.926666666666677</v>
      </c>
      <c r="P14" s="473">
        <f t="shared" si="1"/>
        <v>343.2</v>
      </c>
      <c r="Q14" s="473">
        <f t="shared" ca="1" si="1"/>
        <v>231942.96245523484</v>
      </c>
    </row>
    <row r="16" spans="1:17">
      <c r="A16" s="475" t="s">
        <v>574</v>
      </c>
      <c r="B16" s="829">
        <f ca="1">huishoudens!B10</f>
        <v>0.19744313432101832</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5565.815437608584</v>
      </c>
      <c r="C21" s="462">
        <f t="shared" ref="C21:C30" ca="1" si="3">C4*$C$16</f>
        <v>0</v>
      </c>
      <c r="D21" s="462">
        <f t="shared" ref="D21:D30" si="4">D4*$D$16</f>
        <v>5518.4630185079995</v>
      </c>
      <c r="E21" s="462">
        <f t="shared" ref="E21:E30" si="5">E4*$E$16</f>
        <v>806.09490508306601</v>
      </c>
      <c r="F21" s="462">
        <f t="shared" ref="F21:F30" si="6">F4*$F$16</f>
        <v>13965.901019311652</v>
      </c>
      <c r="G21" s="462">
        <f t="shared" ref="G21:G30" si="7">G4*$G$16</f>
        <v>0</v>
      </c>
      <c r="H21" s="462">
        <f t="shared" ref="H21:H30" si="8">H4*$H$16</f>
        <v>0</v>
      </c>
      <c r="I21" s="462">
        <f t="shared" ref="I21:I30" si="9">I4*$I$16</f>
        <v>0</v>
      </c>
      <c r="J21" s="462">
        <f t="shared" ref="J21:J30" si="10">J4*$J$16</f>
        <v>46.918975583821059</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25903.193356095118</v>
      </c>
    </row>
    <row r="22" spans="1:17">
      <c r="A22" s="461" t="s">
        <v>156</v>
      </c>
      <c r="B22" s="462">
        <f t="shared" ca="1" si="2"/>
        <v>2834.2642073904581</v>
      </c>
      <c r="C22" s="462">
        <f t="shared" ca="1" si="3"/>
        <v>0</v>
      </c>
      <c r="D22" s="462">
        <f t="shared" ca="1" si="4"/>
        <v>1393.4386155360003</v>
      </c>
      <c r="E22" s="462">
        <f t="shared" si="5"/>
        <v>17.788057879010712</v>
      </c>
      <c r="F22" s="462">
        <f t="shared" ca="1" si="6"/>
        <v>860.14524091322403</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5105.6361217186932</v>
      </c>
    </row>
    <row r="23" spans="1:17">
      <c r="A23" s="461" t="s">
        <v>194</v>
      </c>
      <c r="B23" s="462">
        <f t="shared" ca="1" si="2"/>
        <v>173.85006187159686</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173.85006187159686</v>
      </c>
    </row>
    <row r="24" spans="1:17">
      <c r="A24" s="461" t="s">
        <v>112</v>
      </c>
      <c r="B24" s="462">
        <f t="shared" ca="1" si="2"/>
        <v>148.27011916150303</v>
      </c>
      <c r="C24" s="462">
        <f t="shared" ca="1" si="3"/>
        <v>0</v>
      </c>
      <c r="D24" s="462">
        <f t="shared" si="4"/>
        <v>10.451768052000002</v>
      </c>
      <c r="E24" s="462">
        <f t="shared" si="5"/>
        <v>1.6059027772242247</v>
      </c>
      <c r="F24" s="462">
        <f t="shared" si="6"/>
        <v>654.31082257716889</v>
      </c>
      <c r="G24" s="462">
        <f t="shared" si="7"/>
        <v>0</v>
      </c>
      <c r="H24" s="462">
        <f t="shared" si="8"/>
        <v>0</v>
      </c>
      <c r="I24" s="462">
        <f t="shared" si="9"/>
        <v>0</v>
      </c>
      <c r="J24" s="462">
        <f t="shared" si="10"/>
        <v>32.885287129036676</v>
      </c>
      <c r="K24" s="462">
        <f t="shared" si="11"/>
        <v>0</v>
      </c>
      <c r="L24" s="462">
        <f t="shared" si="12"/>
        <v>0</v>
      </c>
      <c r="M24" s="462">
        <f t="shared" si="13"/>
        <v>0</v>
      </c>
      <c r="N24" s="462">
        <f t="shared" si="14"/>
        <v>0</v>
      </c>
      <c r="O24" s="462">
        <f t="shared" si="15"/>
        <v>0</v>
      </c>
      <c r="P24" s="463">
        <f t="shared" si="16"/>
        <v>0</v>
      </c>
      <c r="Q24" s="461">
        <f t="shared" ca="1" si="17"/>
        <v>847.52389969693286</v>
      </c>
    </row>
    <row r="25" spans="1:17">
      <c r="A25" s="461" t="s">
        <v>685</v>
      </c>
      <c r="B25" s="462">
        <f t="shared" ca="1" si="2"/>
        <v>303.00117000739272</v>
      </c>
      <c r="C25" s="462">
        <f t="shared" ca="1" si="3"/>
        <v>0</v>
      </c>
      <c r="D25" s="462">
        <f t="shared" si="4"/>
        <v>244.67610327599996</v>
      </c>
      <c r="E25" s="462">
        <f t="shared" si="5"/>
        <v>4.873673894978741</v>
      </c>
      <c r="F25" s="462">
        <f t="shared" si="6"/>
        <v>188.85281145385713</v>
      </c>
      <c r="G25" s="462">
        <f t="shared" si="7"/>
        <v>0</v>
      </c>
      <c r="H25" s="462">
        <f t="shared" si="8"/>
        <v>0</v>
      </c>
      <c r="I25" s="462">
        <f t="shared" si="9"/>
        <v>0</v>
      </c>
      <c r="J25" s="462">
        <f t="shared" si="10"/>
        <v>1.6308693263560596</v>
      </c>
      <c r="K25" s="462">
        <f t="shared" si="11"/>
        <v>0</v>
      </c>
      <c r="L25" s="462">
        <f t="shared" si="12"/>
        <v>0</v>
      </c>
      <c r="M25" s="462">
        <f t="shared" si="13"/>
        <v>0</v>
      </c>
      <c r="N25" s="462">
        <f t="shared" si="14"/>
        <v>0</v>
      </c>
      <c r="O25" s="462">
        <f t="shared" si="15"/>
        <v>0</v>
      </c>
      <c r="P25" s="463">
        <f t="shared" si="16"/>
        <v>0</v>
      </c>
      <c r="Q25" s="461">
        <f t="shared" ca="1" si="17"/>
        <v>743.03462795858468</v>
      </c>
    </row>
    <row r="26" spans="1:17" s="467" customFormat="1">
      <c r="A26" s="465" t="s">
        <v>579</v>
      </c>
      <c r="B26" s="823">
        <f t="shared" ca="1" si="2"/>
        <v>0.33279745078003858</v>
      </c>
      <c r="C26" s="466">
        <f t="shared" ca="1" si="3"/>
        <v>0</v>
      </c>
      <c r="D26" s="466">
        <f t="shared" si="4"/>
        <v>1.0395369759398081</v>
      </c>
      <c r="E26" s="466">
        <f t="shared" si="5"/>
        <v>66.657907243337618</v>
      </c>
      <c r="F26" s="466">
        <f t="shared" si="6"/>
        <v>0</v>
      </c>
      <c r="G26" s="466">
        <f t="shared" si="7"/>
        <v>16389.602705010551</v>
      </c>
      <c r="H26" s="466">
        <f t="shared" si="8"/>
        <v>2824.3685336719163</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19282.001480352526</v>
      </c>
    </row>
    <row r="27" spans="1:17">
      <c r="A27" s="461" t="s">
        <v>569</v>
      </c>
      <c r="B27" s="462">
        <f t="shared" ca="1" si="2"/>
        <v>0</v>
      </c>
      <c r="C27" s="462">
        <f t="shared" ca="1" si="3"/>
        <v>0</v>
      </c>
      <c r="D27" s="462">
        <f t="shared" si="4"/>
        <v>0</v>
      </c>
      <c r="E27" s="462">
        <f t="shared" si="5"/>
        <v>0</v>
      </c>
      <c r="F27" s="462">
        <f t="shared" si="6"/>
        <v>0</v>
      </c>
      <c r="G27" s="462">
        <f t="shared" si="7"/>
        <v>1020.8209410254719</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1020.8209410254719</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9025.5337934903127</v>
      </c>
      <c r="C31" s="472">
        <f t="shared" ca="1" si="18"/>
        <v>0</v>
      </c>
      <c r="D31" s="472">
        <f t="shared" ca="1" si="18"/>
        <v>7168.0690423479391</v>
      </c>
      <c r="E31" s="472">
        <f t="shared" si="18"/>
        <v>897.02044687761725</v>
      </c>
      <c r="F31" s="472">
        <f t="shared" ca="1" si="18"/>
        <v>15669.209894255901</v>
      </c>
      <c r="G31" s="472">
        <f t="shared" si="18"/>
        <v>17410.423646036023</v>
      </c>
      <c r="H31" s="472">
        <f t="shared" si="18"/>
        <v>2824.3685336719163</v>
      </c>
      <c r="I31" s="472">
        <f t="shared" si="18"/>
        <v>0</v>
      </c>
      <c r="J31" s="472">
        <f t="shared" si="18"/>
        <v>81.435132039213798</v>
      </c>
      <c r="K31" s="472">
        <f t="shared" si="18"/>
        <v>0</v>
      </c>
      <c r="L31" s="472">
        <f t="shared" ca="1" si="18"/>
        <v>0</v>
      </c>
      <c r="M31" s="472">
        <f t="shared" si="18"/>
        <v>0</v>
      </c>
      <c r="N31" s="472">
        <f t="shared" ca="1" si="18"/>
        <v>0</v>
      </c>
      <c r="O31" s="472">
        <f t="shared" si="18"/>
        <v>0</v>
      </c>
      <c r="P31" s="473">
        <f t="shared" si="18"/>
        <v>0</v>
      </c>
      <c r="Q31" s="473">
        <f t="shared" ca="1" si="18"/>
        <v>53076.060488718926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0.19744313432101832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0.19744313432101832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0.19744313432101832</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2018-06-27T09:18:23Z</dcterms:modified>
</cp:coreProperties>
</file>