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22" i="14"/>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E7" i="48"/>
  <c r="E24" s="1"/>
  <c r="M14" i="22"/>
  <c r="M18" s="1"/>
  <c r="N45" i="14" s="1"/>
  <c r="N46" s="1"/>
  <c r="N53" s="1"/>
  <c r="I7" i="18"/>
  <c r="J67" i="14" s="1"/>
  <c r="G14" i="22"/>
  <c r="E13" i="14"/>
  <c r="J7" i="18"/>
  <c r="E10" i="14"/>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I9" i="18"/>
  <c r="J20" i="15"/>
  <c r="K36" i="14" s="1"/>
  <c r="E15"/>
  <c r="E2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J14" i="48" l="1"/>
  <c r="J31"/>
  <c r="F22" i="16"/>
  <c r="G39" i="14" s="1"/>
  <c r="G41" s="1"/>
  <c r="G53" s="1"/>
  <c r="G55" s="1"/>
  <c r="O69" s="1"/>
  <c r="B9" i="6" s="1"/>
  <c r="B12" s="1"/>
  <c r="F8" i="48"/>
  <c r="F14" s="1"/>
  <c r="Q9"/>
  <c r="E25"/>
  <c r="E31" s="1"/>
  <c r="E14"/>
  <c r="N25"/>
  <c r="N14"/>
  <c r="E22" i="16"/>
  <c r="F39" i="14" s="1"/>
  <c r="F41" s="1"/>
  <c r="F53" s="1"/>
  <c r="F55" s="1"/>
  <c r="J22" i="16"/>
  <c r="K39" i="14" s="1"/>
  <c r="K41" s="1"/>
  <c r="K53" s="1"/>
  <c r="Q8" i="48"/>
  <c r="Q14" s="1"/>
  <c r="N31"/>
  <c r="F13" i="14"/>
  <c r="F15" s="1"/>
  <c r="F23" s="1"/>
  <c r="G14" i="48"/>
  <c r="H55" i="14"/>
  <c r="M14" i="48"/>
  <c r="R19" i="14"/>
  <c r="R20" s="1"/>
  <c r="M26" i="48"/>
  <c r="M31" s="1"/>
  <c r="O53" i="14"/>
  <c r="M53"/>
  <c r="M55" s="1"/>
  <c r="C12" i="13"/>
  <c r="D37" i="14" s="1"/>
  <c r="D41" s="1"/>
  <c r="C23" i="48"/>
  <c r="C24"/>
  <c r="C27"/>
  <c r="C28"/>
  <c r="C22"/>
  <c r="C25"/>
  <c r="C29"/>
  <c r="C21"/>
  <c r="C26"/>
  <c r="K55" i="14"/>
  <c r="R13"/>
  <c r="R15" s="1"/>
  <c r="F25" i="48"/>
  <c r="F31" s="1"/>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9" i="48"/>
  <c r="Q29" s="1"/>
  <c r="B22" l="1"/>
  <c r="Q22" s="1"/>
  <c r="B21"/>
  <c r="Q21" s="1"/>
  <c r="Q31" s="1"/>
  <c r="B24"/>
  <c r="Q24" s="1"/>
  <c r="B30"/>
  <c r="Q30" s="1"/>
  <c r="B27"/>
  <c r="Q27"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<sst xmlns="http://schemas.openxmlformats.org/spreadsheetml/2006/main" count="2036" uniqueCount="890">
  <si>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</si>
  <si>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</si>
  <si>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</si>
  <si>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</si>
  <si>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</si>
  <si>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</si>
  <si>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</si>
  <si>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</si>
  <si>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</si>
  <si>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</si>
  <si>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</si>
  <si>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</si>
  <si>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</si>
  <si>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</si>
  <si>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</si>
  <si>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</si>
  <si>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</si>
  <si>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</si>
  <si>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</si>
  <si>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</si>
  <si>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</si>
  <si>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</si>
  <si>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</si>
  <si>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</si>
  <si>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</si>
  <si>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</si>
  <si>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</si>
  <si>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</si>
  <si>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</si>
  <si>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</si>
  <si>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</si>
  <si>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</si>
  <si>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</si>
  <si>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</si>
  <si>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</si>
  <si>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</si>
  <si>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</si>
  <si>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</si>
  <si>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</si>
  <si>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</si>
  <si>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</si>
  <si>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</si>
  <si>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</si>
  <si>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</si>
  <si>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</si>
  <si>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</si>
  <si>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</si>
  <si>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</si>
  <si>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</si>
  <si>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</si>
  <si>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</si>
  <si>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</si>
  <si>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</si>
  <si>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</si>
  <si>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</si>
  <si>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</si>
  <si>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</si>
  <si>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</si>
  <si>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</si>
  <si>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</si>
  <si>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</si>
  <si>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</si>
  <si>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</si>
  <si>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</si>
  <si>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</si>
  <si>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</si>
  <si>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</si>
  <si>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</si>
  <si>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</si>
  <si>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</si>
  <si>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</si>
  <si>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</si>
  <si>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</si>
  <si>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</si>
  <si>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</si>
  <si>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</si>
  <si>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</si>
  <si>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</si>
  <si>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</si>
  <si>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</si>
  <si>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</si>
  <si>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</si>
  <si>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</si>
  <si>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</si>
  <si>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</si>
  <si>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</si>
  <si>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</si>
  <si>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</si>
  <si>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</si>
  <si>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</si>
  <si>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</si>
  <si>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</si>
  <si>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</si>
  <si>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</si>
  <si>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</si>
  <si>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</si>
  <si>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</si>
  <si>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</si>
  <si>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</si>
  <si>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</si>
  <si>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</si>
  <si>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</si>
  <si>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</si>
  <si>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</si>
  <si>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</si>
  <si>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</si>
  <si>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</si>
  <si>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</si>
  <si>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</si>
  <si>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</si>
  <si>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</si>
  <si>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</si>
  <si>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</si>
  <si>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</si>
  <si>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</si>
  <si>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</si>
  <si>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</si>
  <si>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</si>
  <si>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</si>
  <si>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</si>
  <si>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</si>
  <si>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</si>
  <si>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</si>
  <si>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</si>
  <si>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</si>
  <si>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</si>
  <si>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</si>
  <si>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</si>
  <si>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</si>
  <si>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</si>
  <si>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</si>
  <si>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</si>
  <si>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</si>
  <si>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</si>
  <si>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</si>
  <si>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</si>
  <si>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</si>
  <si>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</si>
  <si>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</si>
  <si>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</si>
  <si>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</si>
  <si>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</si>
  <si>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</si>
  <si>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</si>
  <si>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</si>
  <si>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</si>
  <si>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</si>
  <si>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</si>
  <si>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</si>
  <si>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</si>
  <si>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</si>
  <si>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</si>
  <si>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</si>
  <si>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</si>
  <si>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</si>
  <si>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</si>
  <si>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</si>
  <si>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</si>
  <si>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</si>
  <si>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</si>
  <si>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</si>
  <si>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</si>
  <si>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</si>
  <si>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</si>
  <si>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</si>
  <si>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</si>
  <si>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</si>
  <si>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</si>
  <si>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</si>
  <si>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</si>
  <si>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</si>
  <si>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</si>
  <si>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</si>
  <si>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</si>
  <si>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</si>
  <si>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</si>
  <si>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</si>
  <si>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</si>
  <si>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</si>
  <si>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</si>
  <si>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</si>
  <si>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</si>
  <si>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</si>
  <si>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</si>
  <si>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</si>
  <si>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</si>
  <si>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</si>
  <si>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</si>
  <si>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</si>
  <si>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</si>
  <si>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</si>
  <si>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</si>
  <si>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</si>
  <si>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</si>
  <si>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</si>
  <si>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</si>
  <si>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</si>
  <si>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</si>
  <si>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</si>
  <si>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</si>
  <si>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</si>
  <si>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</si>
  <si>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</si>
  <si>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</si>
  <si>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</si>
  <si>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</si>
  <si>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</si>
  <si>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</si>
  <si>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</si>
  <si>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</si>
  <si>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</si>
  <si>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</si>
  <si>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</si>
  <si>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</si>
  <si>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</si>
  <si>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</si>
  <si>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</si>
  <si>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</si>
  <si>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</si>
  <si>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</si>
  <si>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</si>
  <si>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</si>
  <si>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</si>
  <si>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</si>
  <si>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</si>
  <si>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</si>
  <si>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</si>
  <si>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</si>
  <si>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</si>
  <si>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</si>
  <si>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</si>
  <si>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</si>
  <si>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</si>
  <si>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</si>
  <si>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</si>
  <si>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</si>
  <si>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</si>
  <si>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</si>
  <si>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</si>
  <si>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</si>
  <si>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</si>
  <si>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</si>
  <si>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</si>
  <si>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</si>
  <si>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</si>
  <si>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</si>
  <si>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</si>
  <si>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</si>
  <si>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</si>
  <si>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</si>
  <si>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</si>
  <si>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</si>
  <si>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</si>
  <si>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</si>
  <si>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</si>
  <si>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</si>
  <si>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</si>
  <si>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</si>
  <si>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</si>
  <si>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</si>
  <si>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</si>
  <si>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</si>
  <si>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</si>
  <si>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</si>
  <si>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</si>
  <si>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</si>
  <si>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</si>
  <si>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</si>
  <si>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</si>
  <si>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</si>
  <si>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</si>
  <si>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</si>
  <si>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</si>
  <si>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</si>
  <si>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</si>
  <si>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</si>
  <si>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</si>
  <si>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</si>
  <si>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</si>
  <si>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</si>
  <si>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</si>
  <si>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</si>
  <si>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</si>
  <si>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</si>
  <si>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</si>
  <si>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</si>
  <si>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</si>
  <si>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</si>
  <si>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</si>
  <si>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</si>
  <si>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</si>
  <si>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</si>
  <si>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</si>
  <si>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</si>
  <si>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</si>
  <si>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</si>
  <si>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</si>
  <si>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</si>
  <si>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</si>
  <si>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</si>
  <si>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</si>
  <si>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</si>
  <si>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</si>
  <si>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</si>
  <si>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</si>
  <si>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</si>
  <si>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</si>
  <si>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</si>
  <si>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</si>
  <si>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</si>
  <si>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</si>
  <si>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</si>
  <si>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</si>
  <si>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</si>
  <si>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</si>
  <si>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</si>
  <si>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</si>
  <si>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</si>
  <si>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</si>
  <si>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</si>
  <si>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</si>
  <si>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</si>
  <si>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</si>
  <si>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</si>
  <si>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</si>
  <si>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</si>
  <si>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</si>
  <si>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</si>
  <si>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</si>
  <si>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</si>
  <si>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</si>
  <si>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</si>
  <si>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</si>
  <si>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</si>
  <si>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</si>
  <si>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</si>
  <si>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</si>
  <si>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</si>
  <si>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</si>
  <si>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</si>
  <si>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</si>
  <si>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</si>
  <si>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</si>
  <si>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</si>
  <si>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</si>
  <si>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</si>
  <si>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</si>
  <si>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</si>
  <si>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</si>
  <si>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</si>
  <si>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</si>
  <si>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</si>
  <si>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</si>
  <si>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</si>
  <si>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</si>
  <si>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</si>
  <si>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</si>
  <si>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</si>
  <si>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</si>
  <si>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</si>
  <si>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</si>
  <si>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</si>
  <si>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</si>
  <si>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</si>
  <si>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</si>
  <si>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</si>
  <si>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</si>
  <si>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</si>
  <si>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</si>
  <si>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</si>
  <si>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</si>
  <si>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</si>
  <si>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</si>
  <si>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</si>
  <si>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</si>
  <si>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</si>
  <si>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</si>
  <si>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</si>
  <si>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</si>
  <si>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</si>
  <si>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</si>
  <si>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</si>
  <si>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</si>
  <si>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</si>
  <si>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</si>
  <si>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</si>
  <si>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</si>
  <si>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</si>
  <si>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</si>
  <si>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</si>
  <si>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</si>
  <si>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</si>
  <si>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</si>
  <si>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</si>
  <si>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</si>
  <si>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</si>
  <si>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</si>
  <si>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</si>
  <si>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</si>
  <si>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</si>
  <si>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</si>
  <si>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</si>
  <si>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</si>
  <si>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</si>
  <si>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</si>
  <si>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</si>
  <si>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</si>
  <si>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</si>
  <si>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</si>
  <si>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</si>
  <si>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</si>
  <si>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</si>
  <si>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</si>
  <si>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</si>
  <si>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</si>
  <si>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</si>
  <si>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</si>
  <si>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</si>
  <si>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</si>
  <si>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</si>
  <si>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</si>
  <si>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</si>
  <si>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</si>
  <si>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</si>
  <si>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</si>
  <si>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</si>
  <si>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</si>
  <si>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</si>
  <si>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</si>
  <si>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</si>
  <si>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</si>
  <si>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</si>
  <si>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</si>
  <si>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</si>
  <si>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</si>
  <si>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</si>
  <si>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</si>
  <si>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</si>
  <si>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</si>
  <si>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</si>
  <si>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</si>
  <si>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</si>
  <si>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</si>
  <si>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</si>
  <si>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</si>
  <si>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</si>
  <si>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</si>
  <si>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</si>
  <si>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</si>
  <si>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</si>
  <si>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</si>
  <si>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</si>
  <si>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</si>
  <si>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</si>
  <si>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</si>
  <si>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</si>
  <si>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</si>
  <si>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</si>
  <si>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</si>
  <si>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</si>
  <si>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</si>
  <si>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</si>
  <si>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</si>
  <si>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</si>
  <si>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</si>
  <si>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</si>
  <si>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</si>
  <si>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</si>
  <si>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</si>
  <si>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</si>
  <si>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</si>
  <si>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</si>
  <si>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</si>
  <si>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</si>
  <si>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</si>
  <si>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</si>
  <si>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</si>
  <si>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</si>
  <si>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</si>
  <si>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</si>
  <si>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</si>
  <si>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</si>
  <si>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</si>
  <si>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</si>
  <si>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</si>
  <si>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</si>
  <si>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</si>
  <si>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</si>
  <si>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</si>
  <si>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</si>
  <si>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</si>
  <si>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</si>
  <si>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</si>
  <si>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</si>
  <si>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</si>
  <si>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</si>
  <si>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</si>
  <si>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</si>
  <si>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</si>
  <si>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</si>
  <si>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</si>
  <si>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</si>
  <si>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</si>
  <si>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</si>
  <si>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</si>
  <si>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</si>
  <si>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</si>
  <si>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</si>
  <si>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</si>
  <si>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</si>
  <si>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</si>
  <si>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</si>
  <si>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</si>
  <si>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</si>
  <si>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</si>
  <si>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</si>
  <si>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</si>
  <si>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</si>
  <si>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</si>
  <si>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</si>
  <si>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</si>
  <si>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</si>
  <si>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</si>
  <si>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</si>
  <si>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</si>
  <si>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</si>
  <si>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</si>
  <si>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</si>
  <si>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</si>
  <si>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</si>
  <si>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</si>
  <si>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</si>
  <si>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</si>
  <si>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</si>
  <si>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</si>
  <si>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</si>
  <si>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</si>
  <si>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</si>
  <si>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</si>
  <si>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</si>
  <si>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</si>
  <si>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</si>
  <si>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</si>
  <si>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</si>
  <si>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</si>
  <si>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</si>
  <si>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</si>
  <si>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</si>
  <si>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</si>
  <si>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</si>
  <si>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</si>
  <si>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</si>
  <si>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</si>
  <si>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</si>
  <si>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</si>
  <si>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</si>
  <si>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</si>
  <si>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</si>
  <si>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</si>
  <si>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</si>
  <si>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</si>
  <si>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</si>
  <si>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</si>
  <si>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</si>
  <si>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</si>
  <si>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</si>
  <si>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</si>
  <si>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</si>
  <si>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</si>
  <si>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</si>
  <si>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</si>
  <si>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</si>
  <si>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</si>
  <si>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</si>
  <si>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</si>
  <si>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</si>
  <si>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</si>
  <si>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</si>
  <si>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</si>
  <si>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</si>
  <si>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</si>
  <si>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</si>
  <si>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</si>
  <si>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</si>
  <si>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</si>
  <si>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</si>
  <si>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</si>
  <si>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</si>
  <si>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</si>
  <si>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</si>
  <si>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</si>
  <si>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</si>
  <si>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</si>
  <si>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</si>
  <si>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</si>
  <si>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</si>
  <si>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</si>
  <si>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</si>
  <si>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</si>
  <si>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</si>
  <si>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</si>
  <si>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</si>
  <si>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</si>
  <si>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</si>
  <si>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</si>
  <si>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</si>
  <si>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</si>
  <si>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</si>
  <si>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</si>
  <si>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</si>
  <si>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</si>
  <si>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</si>
  <si>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</si>
  <si>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</si>
  <si>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</si>
  <si>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</si>
  <si>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</si>
  <si>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</si>
  <si>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</si>
  <si>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</si>
  <si>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</si>
  <si>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</si>
  <si>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</si>
  <si>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</si>
  <si>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</si>
  <si>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</si>
  <si>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</si>
  <si>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</si>
  <si>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</si>
  <si>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</si>
  <si>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</si>
  <si>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</si>
  <si>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</si>
  <si>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</si>
  <si>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</si>
  <si>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</si>
  <si>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</si>
  <si>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</si>
  <si>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</si>
  <si>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</si>
  <si>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</si>
  <si>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</si>
  <si>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</si>
  <si>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</si>
  <si>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</si>
  <si>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</si>
  <si>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</si>
  <si>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</si>
  <si>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</si>
  <si>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</si>
  <si>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</si>
  <si>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</si>
  <si>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</si>
  <si>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</si>
  <si>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</si>
  <si>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</si>
  <si>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</si>
  <si>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</si>
  <si>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</si>
  <si>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</si>
  <si>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</si>
  <si>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</si>
  <si>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</si>
  <si>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</si>
  <si>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</si>
  <si>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</si>
  <si>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</si>
  <si>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</si>
  <si>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</si>
  <si>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</si>
  <si>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</si>
  <si>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</si>
  <si>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</si>
  <si>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</si>
  <si>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</si>
  <si>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</si>
  <si>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</si>
  <si>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</si>
  <si>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</si>
  <si>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</si>
  <si>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</si>
  <si>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</si>
  <si>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</si>
  <si>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</si>
  <si>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</si>
  <si>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</si>
  <si>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</si>
  <si>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</si>
  <si>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</si>
  <si>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</si>
  <si>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</si>
  <si>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</si>
  <si>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</si>
  <si>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</si>
  <si>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</si>
  <si>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</si>
  <si>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</si>
  <si>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</si>
  <si>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</si>
  <si>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</si>
  <si>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</si>
  <si>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</si>
  <si>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</si>
  <si>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</si>
  <si>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</si>
  <si>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</si>
  <si>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</si>
  <si>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</si>
  <si>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</si>
  <si>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</si>
  <si>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</si>
  <si>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</si>
  <si>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</si>
  <si>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</si>
  <si>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</si>
  <si>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</si>
  <si>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</si>
  <si>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</si>
  <si>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</si>
  <si>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</si>
  <si>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</si>
  <si>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</si>
  <si>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</si>
  <si>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</si>
  <si>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</si>
  <si>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</si>
  <si>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</si>
  <si>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</si>
  <si>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</si>
  <si>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</si>
  <si>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</si>
  <si>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</si>
  <si>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</si>
  <si>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</si>
  <si>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</si>
  <si>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</si>
  <si>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</si>
  <si>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</si>
  <si>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</si>
  <si>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</si>
  <si>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</si>
  <si>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</si>
  <si>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</si>
  <si>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</si>
  <si>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</si>
  <si>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</si>
  <si>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</si>
  <si>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</si>
  <si>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</si>
  <si>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</si>
  <si>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</si>
  <si>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</si>
  <si>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</si>
  <si>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</si>
  <si>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</si>
  <si>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</si>
  <si>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</si>
  <si>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</si>
  <si>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</si>
  <si>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</si>
  <si>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</si>
  <si>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</si>
  <si>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</si>
  <si>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</si>
  <si>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</si>
  <si>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</si>
  <si>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</si>
  <si>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</si>
  <si>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</si>
  <si>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</si>
  <si>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</si>
  <si>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</si>
  <si>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</si>
  <si>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</si>
  <si>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</si>
  <si>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</si>
  <si>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</si>
  <si>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</si>
  <si>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</si>
  <si>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</si>
  <si>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</si>
  <si>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</si>
  <si>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</si>
  <si>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</si>
  <si>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</si>
  <si>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</si>
  <si>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</si>
  <si>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</si>
  <si>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</si>
  <si>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</si>
  <si>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</si>
  <si>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</si>
  <si>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</si>
  <si>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</si>
  <si>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</si>
  <si>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</si>
  <si>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</si>
  <si>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</si>
  <si>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</si>
  <si>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</si>
  <si>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</si>
  <si>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</si>
  <si>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</si>
  <si>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</si>
  <si>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</si>
  <si>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</si>
  <si>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</si>
  <si>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</si>
  <si>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</si>
  <si>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</si>
  <si>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</si>
  <si>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</si>
  <si>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</si>
  <si>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</si>
  <si>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</si>
  <si>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</si>
  <si>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</si>
  <si>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</si>
  <si>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</si>
  <si>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</si>
  <si>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</si>
  <si>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</si>
  <si>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</si>
  <si>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</si>
  <si>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</si>
  <si>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</si>
  <si>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</si>
  <si>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</si>
  <si>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</si>
  <si>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</si>
  <si>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</si>
  <si>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</si>
  <si>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</si>
  <si>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</si>
  <si>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</si>
  <si>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</si>
  <si>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</si>
  <si>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</si>
  <si>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</si>
  <si>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</si>
  <si>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</si>
  <si>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</si>
  <si>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</si>
  <si>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</si>
  <si>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</si>
  <si>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</si>
  <si>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</si>
  <si>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</si>
  <si>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</si>
  <si>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</si>
  <si>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</si>
  <si>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</si>
  <si>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</si>
  <si>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</si>
  <si>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</si>
  <si>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</si>
  <si>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</si>
  <si>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</si>
  <si>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</si>
  <si>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</si>
  <si>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</si>
  <si>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</si>
  <si>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</si>
  <si>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</si>
  <si>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</si>
  <si>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</si>
  <si>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</si>
  <si>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</si>
  <si>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</si>
  <si>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</si>
  <si>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</si>
  <si>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24045</t>
  </si>
  <si>
    <t>HULDENBERG</t>
  </si>
  <si>
    <t>Paarden&amp;pony's 200 - 600 kg</t>
  </si>
  <si>
    <t>Paarden&amp;pony's &lt; 200 kg</t>
  </si>
  <si>
    <t>op basis van VEA (maart 2018) en Inventaris Hernieuwbare Energiebronnen (juni 2018)</t>
  </si>
  <si>
    <t>VEA (juni 2018)</t>
  </si>
  <si>
    <t>Marc Siongers</t>
  </si>
  <si>
    <t>Biezenstraat 48 , 3040 Loonbeek</t>
  </si>
  <si>
    <t>WKK-0287 Siongers</t>
  </si>
  <si>
    <t>interne verbrandingsmotor</t>
  </si>
  <si>
    <t>WKK interne verbrandinsgmotor (gas)</t>
  </si>
  <si>
    <t>IVERLEK</t>
  </si>
  <si>
    <t>Electrabel NV</t>
  </si>
  <si>
    <t>Gewijde Boomstraat 46, 1050 Elsene</t>
  </si>
  <si>
    <t xml:space="preserve">BGS-0026 De Kock-Watco </t>
  </si>
  <si>
    <t>biogas - stortgas</t>
  </si>
  <si>
    <t>niet WKK interne verbrandingsmotor (gas)</t>
  </si>
  <si>
    <t>Wolfshaegen 15, 3040 Huldenberg</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</si>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</sst>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24045</v>
      </c>
      <c r="B6" s="397"/>
      <c r="C6" s="398"/>
    </row>
    <row r="7" spans="1:7" s="395" customFormat="1" ht="15.75" customHeight="1">
      <c r="A7" s="399" t="str">
        <f>txtMunicipality</f>
        <v>HULDENBERG</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24045</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3692</v>
      </c>
      <c r="C9" s="338">
        <v>3828</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1879</v>
      </c>
    </row>
    <row r="15" spans="1:6">
      <c r="A15" s="1205" t="s">
        <v>184</v>
      </c>
      <c r="B15" s="335">
        <v>9</v>
      </c>
    </row>
    <row r="16" spans="1:6">
      <c r="A16" s="1205" t="s">
        <v>6</v>
      </c>
      <c r="B16" s="335">
        <v>349</v>
      </c>
    </row>
    <row r="17" spans="1:6">
      <c r="A17" s="1205" t="s">
        <v>7</v>
      </c>
      <c r="B17" s="335">
        <v>460</v>
      </c>
    </row>
    <row r="18" spans="1:6">
      <c r="A18" s="1205" t="s">
        <v>8</v>
      </c>
      <c r="B18" s="335">
        <v>650</v>
      </c>
    </row>
    <row r="19" spans="1:6">
      <c r="A19" s="1205" t="s">
        <v>9</v>
      </c>
      <c r="B19" s="335">
        <v>538</v>
      </c>
    </row>
    <row r="20" spans="1:6">
      <c r="A20" s="1205" t="s">
        <v>10</v>
      </c>
      <c r="B20" s="335">
        <v>432</v>
      </c>
    </row>
    <row r="21" spans="1:6">
      <c r="A21" s="1205" t="s">
        <v>11</v>
      </c>
      <c r="B21" s="335">
        <v>0</v>
      </c>
    </row>
    <row r="22" spans="1:6">
      <c r="A22" s="1205" t="s">
        <v>12</v>
      </c>
      <c r="B22" s="335">
        <v>767</v>
      </c>
    </row>
    <row r="23" spans="1:6">
      <c r="A23" s="1205" t="s">
        <v>13</v>
      </c>
      <c r="B23" s="335">
        <v>0</v>
      </c>
    </row>
    <row r="24" spans="1:6">
      <c r="A24" s="1205" t="s">
        <v>14</v>
      </c>
      <c r="B24" s="335">
        <v>0</v>
      </c>
    </row>
    <row r="25" spans="1:6">
      <c r="A25" s="1205" t="s">
        <v>15</v>
      </c>
      <c r="B25" s="335">
        <v>0</v>
      </c>
    </row>
    <row r="26" spans="1:6">
      <c r="A26" s="1205" t="s">
        <v>16</v>
      </c>
      <c r="B26" s="335">
        <v>248</v>
      </c>
    </row>
    <row r="27" spans="1:6">
      <c r="A27" s="1205" t="s">
        <v>17</v>
      </c>
      <c r="B27" s="335">
        <v>1</v>
      </c>
    </row>
    <row r="28" spans="1:6" s="341" customFormat="1">
      <c r="A28" s="1206" t="s">
        <v>18</v>
      </c>
      <c r="B28" s="1206">
        <v>12</v>
      </c>
    </row>
    <row r="29" spans="1:6">
      <c r="A29" s="1206" t="s">
        <v>873</v>
      </c>
      <c r="B29" s="1206">
        <v>71</v>
      </c>
      <c r="C29" s="341"/>
      <c r="D29" s="341"/>
      <c r="E29" s="341"/>
      <c r="F29" s="341"/>
    </row>
    <row r="30" spans="1:6">
      <c r="A30" s="1201" t="s">
        <v>874</v>
      </c>
      <c r="B30" s="1201">
        <v>7</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7</v>
      </c>
      <c r="F36" s="335">
        <v>9202.2459626056007</v>
      </c>
    </row>
    <row r="37" spans="1:6">
      <c r="A37" s="1205" t="s">
        <v>25</v>
      </c>
      <c r="B37" s="1205" t="s">
        <v>28</v>
      </c>
      <c r="C37" s="335">
        <v>0</v>
      </c>
      <c r="D37" s="335">
        <v>0</v>
      </c>
      <c r="E37" s="335">
        <v>0</v>
      </c>
      <c r="F37" s="335">
        <v>0</v>
      </c>
    </row>
    <row r="38" spans="1:6">
      <c r="A38" s="1205" t="s">
        <v>25</v>
      </c>
      <c r="B38" s="1205" t="s">
        <v>29</v>
      </c>
      <c r="C38" s="335">
        <v>0</v>
      </c>
      <c r="D38" s="335">
        <v>0</v>
      </c>
      <c r="E38" s="335">
        <v>1</v>
      </c>
      <c r="F38" s="335">
        <v>12733.750037440001</v>
      </c>
    </row>
    <row r="39" spans="1:6">
      <c r="A39" s="1205" t="s">
        <v>30</v>
      </c>
      <c r="B39" s="1205" t="s">
        <v>31</v>
      </c>
      <c r="C39" s="335">
        <v>1310</v>
      </c>
      <c r="D39" s="335">
        <v>28272718.115075801</v>
      </c>
      <c r="E39" s="335">
        <v>3603</v>
      </c>
      <c r="F39" s="335">
        <v>17196207.241755601</v>
      </c>
    </row>
    <row r="40" spans="1:6">
      <c r="A40" s="1205" t="s">
        <v>30</v>
      </c>
      <c r="B40" s="1205" t="s">
        <v>29</v>
      </c>
      <c r="C40" s="335">
        <v>0</v>
      </c>
      <c r="D40" s="335">
        <v>0</v>
      </c>
      <c r="E40" s="335">
        <v>0</v>
      </c>
      <c r="F40" s="335">
        <v>0</v>
      </c>
    </row>
    <row r="41" spans="1:6">
      <c r="A41" s="1205" t="s">
        <v>32</v>
      </c>
      <c r="B41" s="1205" t="s">
        <v>33</v>
      </c>
      <c r="C41" s="335">
        <v>0</v>
      </c>
      <c r="D41" s="335">
        <v>0</v>
      </c>
      <c r="E41" s="335">
        <v>50</v>
      </c>
      <c r="F41" s="335">
        <v>440915.25848130003</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3</v>
      </c>
      <c r="F44" s="335">
        <v>22873.959380934401</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11</v>
      </c>
      <c r="D48" s="335">
        <v>259817.36322855801</v>
      </c>
      <c r="E48" s="335">
        <v>22</v>
      </c>
      <c r="F48" s="335">
        <v>454549.996044853</v>
      </c>
    </row>
    <row r="49" spans="1:6">
      <c r="A49" s="1205" t="s">
        <v>32</v>
      </c>
      <c r="B49" s="1205" t="s">
        <v>40</v>
      </c>
      <c r="C49" s="335">
        <v>0</v>
      </c>
      <c r="D49" s="335">
        <v>0</v>
      </c>
      <c r="E49" s="335">
        <v>0</v>
      </c>
      <c r="F49" s="335">
        <v>0</v>
      </c>
    </row>
    <row r="50" spans="1:6">
      <c r="A50" s="1205" t="s">
        <v>32</v>
      </c>
      <c r="B50" s="1205" t="s">
        <v>41</v>
      </c>
      <c r="C50" s="335">
        <v>3</v>
      </c>
      <c r="D50" s="335">
        <v>384912.43219714501</v>
      </c>
      <c r="E50" s="335">
        <v>5</v>
      </c>
      <c r="F50" s="335">
        <v>172041.74809432699</v>
      </c>
    </row>
    <row r="51" spans="1:6">
      <c r="A51" s="1205" t="s">
        <v>42</v>
      </c>
      <c r="B51" s="1205" t="s">
        <v>43</v>
      </c>
      <c r="C51" s="335">
        <v>3</v>
      </c>
      <c r="D51" s="335">
        <v>47171.954051143599</v>
      </c>
      <c r="E51" s="335">
        <v>45</v>
      </c>
      <c r="F51" s="335">
        <v>389886.93063713802</v>
      </c>
    </row>
    <row r="52" spans="1:6">
      <c r="A52" s="1205" t="s">
        <v>42</v>
      </c>
      <c r="B52" s="1205" t="s">
        <v>29</v>
      </c>
      <c r="C52" s="335">
        <v>1</v>
      </c>
      <c r="D52" s="335">
        <v>11583.219116373601</v>
      </c>
      <c r="E52" s="335">
        <v>3</v>
      </c>
      <c r="F52" s="335">
        <v>11268.9128735261</v>
      </c>
    </row>
    <row r="53" spans="1:6">
      <c r="A53" s="1205" t="s">
        <v>44</v>
      </c>
      <c r="B53" s="1205" t="s">
        <v>45</v>
      </c>
      <c r="C53" s="335">
        <v>28</v>
      </c>
      <c r="D53" s="335">
        <v>719898.09257619898</v>
      </c>
      <c r="E53" s="335">
        <v>80</v>
      </c>
      <c r="F53" s="335">
        <v>473992.57752898498</v>
      </c>
    </row>
    <row r="54" spans="1:6">
      <c r="A54" s="1205" t="s">
        <v>46</v>
      </c>
      <c r="B54" s="1205" t="s">
        <v>47</v>
      </c>
      <c r="C54" s="335">
        <v>0</v>
      </c>
      <c r="D54" s="335">
        <v>0</v>
      </c>
      <c r="E54" s="335">
        <v>1</v>
      </c>
      <c r="F54" s="335">
        <v>738147</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10</v>
      </c>
      <c r="D57" s="335">
        <v>460309.28907360701</v>
      </c>
      <c r="E57" s="335">
        <v>30</v>
      </c>
      <c r="F57" s="335">
        <v>3634447.8963068002</v>
      </c>
    </row>
    <row r="58" spans="1:6">
      <c r="A58" s="1205" t="s">
        <v>49</v>
      </c>
      <c r="B58" s="1205" t="s">
        <v>51</v>
      </c>
      <c r="C58" s="335">
        <v>7</v>
      </c>
      <c r="D58" s="335">
        <v>222011.33393697199</v>
      </c>
      <c r="E58" s="335">
        <v>14</v>
      </c>
      <c r="F58" s="335">
        <v>1260635.32849577</v>
      </c>
    </row>
    <row r="59" spans="1:6">
      <c r="A59" s="1205" t="s">
        <v>49</v>
      </c>
      <c r="B59" s="1205" t="s">
        <v>52</v>
      </c>
      <c r="C59" s="335">
        <v>14</v>
      </c>
      <c r="D59" s="335">
        <v>396494.22077696101</v>
      </c>
      <c r="E59" s="335">
        <v>57</v>
      </c>
      <c r="F59" s="335">
        <v>1265570.6239437901</v>
      </c>
    </row>
    <row r="60" spans="1:6">
      <c r="A60" s="1205" t="s">
        <v>49</v>
      </c>
      <c r="B60" s="1205" t="s">
        <v>53</v>
      </c>
      <c r="C60" s="335">
        <v>16</v>
      </c>
      <c r="D60" s="335">
        <v>685807.17727576895</v>
      </c>
      <c r="E60" s="335">
        <v>29</v>
      </c>
      <c r="F60" s="335">
        <v>498800.70358791901</v>
      </c>
    </row>
    <row r="61" spans="1:6">
      <c r="A61" s="1205" t="s">
        <v>49</v>
      </c>
      <c r="B61" s="1205" t="s">
        <v>54</v>
      </c>
      <c r="C61" s="335">
        <v>52</v>
      </c>
      <c r="D61" s="335">
        <v>3500608.8961346401</v>
      </c>
      <c r="E61" s="335">
        <v>156</v>
      </c>
      <c r="F61" s="335">
        <v>1512110.2722214099</v>
      </c>
    </row>
    <row r="62" spans="1:6">
      <c r="A62" s="1205" t="s">
        <v>49</v>
      </c>
      <c r="B62" s="1205" t="s">
        <v>55</v>
      </c>
      <c r="C62" s="335">
        <v>0</v>
      </c>
      <c r="D62" s="335">
        <v>0</v>
      </c>
      <c r="E62" s="335">
        <v>0</v>
      </c>
      <c r="F62" s="335">
        <v>0</v>
      </c>
    </row>
    <row r="63" spans="1:6">
      <c r="A63" s="1205" t="s">
        <v>49</v>
      </c>
      <c r="B63" s="1205" t="s">
        <v>29</v>
      </c>
      <c r="C63" s="335">
        <v>55</v>
      </c>
      <c r="D63" s="335">
        <v>3830340.6684302101</v>
      </c>
      <c r="E63" s="335">
        <v>68</v>
      </c>
      <c r="F63" s="335">
        <v>896872.17315762804</v>
      </c>
    </row>
    <row r="64" spans="1:6">
      <c r="A64" s="1205" t="s">
        <v>56</v>
      </c>
      <c r="B64" s="1205" t="s">
        <v>57</v>
      </c>
      <c r="C64" s="335">
        <v>0</v>
      </c>
      <c r="D64" s="335">
        <v>0</v>
      </c>
      <c r="E64" s="335">
        <v>0</v>
      </c>
      <c r="F64" s="335">
        <v>0</v>
      </c>
    </row>
    <row r="65" spans="1:6">
      <c r="A65" s="1205" t="s">
        <v>56</v>
      </c>
      <c r="B65" s="1205" t="s">
        <v>29</v>
      </c>
      <c r="C65" s="335">
        <v>1</v>
      </c>
      <c r="D65" s="335">
        <v>39287.973080130003</v>
      </c>
      <c r="E65" s="335">
        <v>2</v>
      </c>
      <c r="F65" s="335">
        <v>222495.85622348799</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0</v>
      </c>
      <c r="F68" s="335">
        <v>0</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35713476</v>
      </c>
      <c r="E73" s="335">
        <v>36760845.94896052</v>
      </c>
    </row>
    <row r="74" spans="1:6">
      <c r="A74" s="1205" t="s">
        <v>64</v>
      </c>
      <c r="B74" s="1205" t="s">
        <v>772</v>
      </c>
      <c r="C74" s="1216" t="s">
        <v>766</v>
      </c>
      <c r="D74" s="335">
        <v>1421389.292709328</v>
      </c>
      <c r="E74" s="335">
        <v>1515976.5475850035</v>
      </c>
    </row>
    <row r="75" spans="1:6">
      <c r="A75" s="1205" t="s">
        <v>65</v>
      </c>
      <c r="B75" s="1205" t="s">
        <v>771</v>
      </c>
      <c r="C75" s="1216" t="s">
        <v>767</v>
      </c>
      <c r="D75" s="335">
        <v>33944445</v>
      </c>
      <c r="E75" s="335">
        <v>35138164.25915087</v>
      </c>
    </row>
    <row r="76" spans="1:6">
      <c r="A76" s="1205" t="s">
        <v>65</v>
      </c>
      <c r="B76" s="1205" t="s">
        <v>772</v>
      </c>
      <c r="C76" s="1216" t="s">
        <v>768</v>
      </c>
      <c r="D76" s="335">
        <v>840579.292709328</v>
      </c>
      <c r="E76" s="335">
        <v>916731.01527965406</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679877.41458134411</v>
      </c>
      <c r="C83" s="335">
        <v>658961.78299282189</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1547.81673561863</v>
      </c>
    </row>
    <row r="92" spans="1:6">
      <c r="A92" s="1201" t="s">
        <v>69</v>
      </c>
      <c r="B92" s="338">
        <v>76.997389136114151</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519</v>
      </c>
    </row>
    <row r="98" spans="1:6">
      <c r="A98" s="1205" t="s">
        <v>72</v>
      </c>
      <c r="B98" s="335">
        <v>1</v>
      </c>
    </row>
    <row r="99" spans="1:6">
      <c r="A99" s="1205" t="s">
        <v>73</v>
      </c>
      <c r="B99" s="335">
        <v>94</v>
      </c>
    </row>
    <row r="100" spans="1:6">
      <c r="A100" s="1205" t="s">
        <v>74</v>
      </c>
      <c r="B100" s="335">
        <v>266</v>
      </c>
    </row>
    <row r="101" spans="1:6">
      <c r="A101" s="1205" t="s">
        <v>75</v>
      </c>
      <c r="B101" s="335">
        <v>58</v>
      </c>
    </row>
    <row r="102" spans="1:6">
      <c r="A102" s="1205" t="s">
        <v>76</v>
      </c>
      <c r="B102" s="335">
        <v>47</v>
      </c>
    </row>
    <row r="103" spans="1:6">
      <c r="A103" s="1205" t="s">
        <v>77</v>
      </c>
      <c r="B103" s="335">
        <v>96</v>
      </c>
    </row>
    <row r="104" spans="1:6">
      <c r="A104" s="1205" t="s">
        <v>78</v>
      </c>
      <c r="B104" s="335">
        <v>2219</v>
      </c>
    </row>
    <row r="105" spans="1:6">
      <c r="A105" s="1201" t="s">
        <v>79</v>
      </c>
      <c r="B105" s="1201">
        <v>4</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8</v>
      </c>
      <c r="C123" s="335">
        <v>8</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51</v>
      </c>
    </row>
    <row r="130" spans="1:6">
      <c r="A130" s="1205" t="s">
        <v>295</v>
      </c>
      <c r="B130" s="335">
        <v>0</v>
      </c>
    </row>
    <row r="131" spans="1:6">
      <c r="A131" s="1205" t="s">
        <v>296</v>
      </c>
      <c r="B131" s="335">
        <v>0</v>
      </c>
    </row>
    <row r="132" spans="1:6">
      <c r="A132" s="1201" t="s">
        <v>297</v>
      </c>
      <c r="B132" s="338">
        <v>8</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34962.110385254433</v>
      </c>
      <c r="C3" s="44" t="s">
        <v>170</v>
      </c>
      <c r="D3" s="44"/>
      <c r="E3" s="157"/>
      <c r="F3" s="44"/>
      <c r="G3" s="44"/>
      <c r="H3" s="44"/>
      <c r="I3" s="44"/>
      <c r="J3" s="44"/>
      <c r="K3" s="97"/>
    </row>
    <row r="4" spans="1:11">
      <c r="A4" s="365" t="s">
        <v>171</v>
      </c>
      <c r="B4" s="50">
        <f>IF(ISERROR('SEAP template'!B69),0,'SEAP template'!B69)</f>
        <v>6543.3141247547446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12.832941176470593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0.18000592199380477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18.332773109243703</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77.142857142857139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0.23764705882352949</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738.14700000000005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738.14700000000005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0.18000592199380477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132.87083130196103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17196.207241755601</v>
      </c>
      <c r="C5" s="18">
        <f>IF(ISERROR('Eigen informatie GS &amp; warmtenet'!B57),0,'Eigen informatie GS &amp; warmtenet'!B57)</f>
        <v>0</v>
      </c>
      <c r="D5" s="31">
        <f>(SUM(HH_hh_gas_kWh,HH_rest_gas_kWh)/1000)*0.902</f>
        <v>25501.991739798374</v>
      </c>
      <c r="E5" s="18">
        <f>B46*B57</f>
        <v>4172.5822060274904</v>
      </c>
      <c r="F5" s="18">
        <f>B51*B62</f>
        <v>29749.979612912044</v>
      </c>
      <c r="G5" s="19"/>
      <c r="H5" s="18"/>
      <c r="I5" s="18"/>
      <c r="J5" s="18">
        <f>B50*B61+C50*C61</f>
        <v>533.31361808352017</v>
      </c>
      <c r="K5" s="18"/>
      <c r="L5" s="18"/>
      <c r="M5" s="18"/>
      <c r="N5" s="18">
        <f>B48*B59+C48*C59</f>
        <v>8361.0318179113237</v>
      </c>
      <c r="O5" s="18">
        <f>B69*B70*B71</f>
        <v>92.236666666666679</v>
      </c>
      <c r="P5" s="18">
        <f>B77*B78*B79/1000-B77*B78*B79/1000/B80</f>
        <v>305.06666666666666</v>
      </c>
    </row>
    <row r="6" spans="1:16">
      <c r="A6" s="17" t="s">
        <v>639</v>
      </c>
      <c r="B6" s="831">
        <f>kWh_PV_kleiner_dan_10kW</f>
        <v>1547.81673561863</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18744.023977374232</v>
      </c>
      <c r="C8" s="22">
        <f>C5</f>
        <v>0</v>
      </c>
      <c r="D8" s="22">
        <f>D5</f>
        <v>25501.991739798374</v>
      </c>
      <c r="E8" s="22">
        <f>E5</f>
        <v>4172.5822060274904</v>
      </c>
      <c r="F8" s="22">
        <f>F5</f>
        <v>29749.979612912044</v>
      </c>
      <c r="G8" s="22"/>
      <c r="H8" s="22"/>
      <c r="I8" s="22"/>
      <c r="J8" s="22">
        <f>J5</f>
        <v>533.31361808352017</v>
      </c>
      <c r="K8" s="22"/>
      <c r="L8" s="22">
        <f>L5</f>
        <v>0</v>
      </c>
      <c r="M8" s="22">
        <f>M5</f>
        <v>0</v>
      </c>
      <c r="N8" s="22">
        <f>N5</f>
        <v>8361.0318179113237</v>
      </c>
      <c r="O8" s="22">
        <f>O5</f>
        <v>92.236666666666679</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0.18000592199380477</v>
      </c>
      <c r="C10" s="26">
        <f ca="1">'EF ele_warmte'!B22</f>
        <v>0.23764705882352949</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3374.0353179212325</v>
      </c>
      <c r="C12" s="24">
        <f ca="1">C10*C8</f>
        <v>0</v>
      </c>
      <c r="D12" s="24">
        <f>D8*D10</f>
        <v>5151.4023314392716</v>
      </c>
      <c r="E12" s="24">
        <f>E10*E8</f>
        <v>947.17616076824038</v>
      </c>
      <c r="F12" s="24">
        <f>F10*F8</f>
        <v>7943.2445566475162</v>
      </c>
      <c r="G12" s="24"/>
      <c r="H12" s="24"/>
      <c r="I12" s="24"/>
      <c r="J12" s="24">
        <f>J10*J8</f>
        <v>188.79302080156614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519</v>
      </c>
      <c r="C18" s="169" t="s">
        <v>111</v>
      </c>
      <c r="D18" s="231"/>
      <c r="E18" s="16"/>
    </row>
    <row r="19" spans="1:7">
      <c r="A19" s="174" t="s">
        <v>72</v>
      </c>
      <c r="B19" s="38">
        <f>aantalw2001_ander</f>
        <v>1</v>
      </c>
      <c r="C19" s="169" t="s">
        <v>111</v>
      </c>
      <c r="D19" s="232"/>
      <c r="E19" s="16"/>
    </row>
    <row r="20" spans="1:7">
      <c r="A20" s="174" t="s">
        <v>73</v>
      </c>
      <c r="B20" s="38">
        <f>aantalw2001_propaan</f>
        <v>94</v>
      </c>
      <c r="C20" s="170">
        <f>IF(ISERROR(B20/SUM($B$20,$B$21,$B$22)*100),0,B20/SUM($B$20,$B$21,$B$22)*100)</f>
        <v>22.488038277511961</v>
      </c>
      <c r="D20" s="232"/>
      <c r="E20" s="16"/>
    </row>
    <row r="21" spans="1:7">
      <c r="A21" s="174" t="s">
        <v>74</v>
      </c>
      <c r="B21" s="38">
        <f>aantalw2001_elektriciteit</f>
        <v>266</v>
      </c>
      <c r="C21" s="170">
        <f>IF(ISERROR(B21/SUM($B$20,$B$21,$B$22)*100),0,B21/SUM($B$20,$B$21,$B$22)*100)</f>
        <v>63.636363636363633</v>
      </c>
      <c r="D21" s="232"/>
      <c r="E21" s="16"/>
    </row>
    <row r="22" spans="1:7">
      <c r="A22" s="174" t="s">
        <v>75</v>
      </c>
      <c r="B22" s="38">
        <f>aantalw2001_hout</f>
        <v>58</v>
      </c>
      <c r="C22" s="170">
        <f>IF(ISERROR(B22/SUM($B$20,$B$21,$B$22)*100),0,B22/SUM($B$20,$B$21,$B$22)*100)</f>
        <v>13.875598086124402</v>
      </c>
      <c r="D22" s="232"/>
      <c r="E22" s="16"/>
    </row>
    <row r="23" spans="1:7">
      <c r="A23" s="174" t="s">
        <v>76</v>
      </c>
      <c r="B23" s="38">
        <f>aantalw2001_niet_gespec</f>
        <v>47</v>
      </c>
      <c r="C23" s="169" t="s">
        <v>111</v>
      </c>
      <c r="D23" s="231"/>
      <c r="E23" s="16"/>
    </row>
    <row r="24" spans="1:7">
      <c r="A24" s="174" t="s">
        <v>77</v>
      </c>
      <c r="B24" s="38">
        <f>aantalw2001_steenkool</f>
        <v>96</v>
      </c>
      <c r="C24" s="169" t="s">
        <v>111</v>
      </c>
      <c r="D24" s="232"/>
      <c r="E24" s="16"/>
    </row>
    <row r="25" spans="1:7">
      <c r="A25" s="174" t="s">
        <v>78</v>
      </c>
      <c r="B25" s="38">
        <f>aantalw2001_stookolie</f>
        <v>2219</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3692</v>
      </c>
      <c r="C28" s="37"/>
      <c r="D28" s="231"/>
    </row>
    <row r="29" spans="1:7" s="16" customFormat="1">
      <c r="A29" s="233" t="s">
        <v>666</v>
      </c>
      <c r="B29" s="38">
        <f>SUM(HH_hh_gas_aantal,HH_rest_gas_aantal)</f>
        <v>1310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1310</v>
      </c>
      <c r="C32" s="170">
        <f>IF(ISERROR(B32/SUM($B$32,$B$34,$B$35,$B$36,$B$38,$B$39)*100),0,B32/SUM($B$32,$B$34,$B$35,$B$36,$B$38,$B$39)*100)</f>
        <v>35.636561479869421</v>
      </c>
      <c r="D32" s="236"/>
      <c r="G32" s="16"/>
    </row>
    <row r="33" spans="1:7">
      <c r="A33" s="174" t="s">
        <v>72</v>
      </c>
      <c r="B33" s="35" t="s">
        <v>111</v>
      </c>
      <c r="C33" s="170"/>
      <c r="D33" s="236"/>
      <c r="G33" s="16"/>
    </row>
    <row r="34" spans="1:7">
      <c r="A34" s="174" t="s">
        <v>73</v>
      </c>
      <c r="B34" s="34">
        <f>IF((($B$28-$B$32-$B$39-$B$77-$B$38)*C20/100)&lt;0,0,($B$28-$B$32-$B$39-$B$77-$B$38)*C20/100)</f>
        <v>189.34928229665076</v>
      </c>
      <c r="C34" s="170">
        <f>IF(ISERROR(B34/SUM($B$32,$B$34,$B$35,$B$36,$B$38,$B$39)*100),0,B34/SUM($B$32,$B$34,$B$35,$B$36,$B$38,$B$39)*100)</f>
        <v>5.1509598013234701</v>
      </c>
      <c r="D34" s="236"/>
      <c r="G34" s="16"/>
    </row>
    <row r="35" spans="1:7">
      <c r="A35" s="174" t="s">
        <v>74</v>
      </c>
      <c r="B35" s="34">
        <f>IF((($B$28-$B$32-$B$39-$B$77-$B$38)*C21/100)&lt;0,0,($B$28-$B$32-$B$39-$B$77-$B$38)*C21/100)</f>
        <v>535.81818181818187</v>
      </c>
      <c r="C35" s="170">
        <f>IF(ISERROR(B35/SUM($B$32,$B$34,$B$35,$B$36,$B$38,$B$39)*100),0,B35/SUM($B$32,$B$34,$B$35,$B$36,$B$38,$B$39)*100)</f>
        <v>14.576120288851522</v>
      </c>
      <c r="D35" s="236"/>
      <c r="G35" s="16"/>
    </row>
    <row r="36" spans="1:7">
      <c r="A36" s="174" t="s">
        <v>75</v>
      </c>
      <c r="B36" s="34">
        <f>IF((($B$28-$B$32-$B$39-$B$77-$B$38)*C22/100)&lt;0,0,($B$28-$B$32-$B$39-$B$77-$B$38)*C22/100)</f>
        <v>116.83253588516747</v>
      </c>
      <c r="C36" s="170">
        <f>IF(ISERROR(B36/SUM($B$32,$B$34,$B$35,$B$36,$B$38,$B$39)*100),0,B36/SUM($B$32,$B$34,$B$35,$B$36,$B$38,$B$39)*100)</f>
        <v>3.1782517923059701</v>
      </c>
      <c r="D36" s="236"/>
      <c r="G36" s="16"/>
    </row>
    <row r="37" spans="1:7">
      <c r="A37" s="174" t="s">
        <v>76</v>
      </c>
      <c r="B37" s="35" t="s">
        <v>111</v>
      </c>
      <c r="C37" s="170"/>
      <c r="D37" s="176"/>
      <c r="G37" s="16"/>
    </row>
    <row r="38" spans="1:7">
      <c r="A38" s="174" t="s">
        <v>77</v>
      </c>
      <c r="B38" s="34">
        <f>IF((B24-(B29-B18)*0.1)&lt;0,0,B24-(B29-B18)*0.1)</f>
        <v>16.899999999999991</v>
      </c>
      <c r="C38" s="170">
        <f>IF(ISERROR(B38/SUM($B$32,$B$34,$B$35,$B$36,$B$38,$B$39)*100),0,B38/SUM($B$32,$B$34,$B$35,$B$36,$B$38,$B$39)*100)</f>
        <v>0.45973884657236108</v>
      </c>
      <c r="D38" s="237"/>
      <c r="G38" s="16"/>
    </row>
    <row r="39" spans="1:7">
      <c r="A39" s="174" t="s">
        <v>78</v>
      </c>
      <c r="B39" s="34">
        <f>IF((B25-(B29-B18))&lt;0,0,B25-(B29-B18)*0.9)</f>
        <v>1507.1</v>
      </c>
      <c r="C39" s="170">
        <f>IF(ISERROR(B39/SUM($B$32,$B$34,$B$35,$B$36,$B$38,$B$39)*100),0,B39/SUM($B$32,$B$34,$B$35,$B$36,$B$38,$B$39)*100)</f>
        <v>40.998367791077257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1310</v>
      </c>
      <c r="C44" s="35" t="s">
        <v>111</v>
      </c>
      <c r="D44" s="177"/>
    </row>
    <row r="45" spans="1:7">
      <c r="A45" s="174" t="s">
        <v>72</v>
      </c>
      <c r="B45" s="34" t="str">
        <f t="shared" si="0"/>
        <v>-</v>
      </c>
      <c r="C45" s="35" t="s">
        <v>111</v>
      </c>
      <c r="D45" s="177"/>
    </row>
    <row r="46" spans="1:7">
      <c r="A46" s="174" t="s">
        <v>73</v>
      </c>
      <c r="B46" s="34">
        <f t="shared" si="0"/>
        <v>189.34928229665076</v>
      </c>
      <c r="C46" s="35" t="s">
        <v>111</v>
      </c>
      <c r="D46" s="177"/>
    </row>
    <row r="47" spans="1:7">
      <c r="A47" s="174" t="s">
        <v>74</v>
      </c>
      <c r="B47" s="34">
        <f t="shared" si="0"/>
        <v>535.81818181818187</v>
      </c>
      <c r="C47" s="35" t="s">
        <v>111</v>
      </c>
      <c r="D47" s="177"/>
    </row>
    <row r="48" spans="1:7">
      <c r="A48" s="174" t="s">
        <v>75</v>
      </c>
      <c r="B48" s="34">
        <f t="shared" si="0"/>
        <v>116.83253588516747</v>
      </c>
      <c r="C48" s="34">
        <f>B48*10</f>
        <v>1168.3253588516748</v>
      </c>
      <c r="D48" s="237"/>
    </row>
    <row r="49" spans="1:6">
      <c r="A49" s="174" t="s">
        <v>76</v>
      </c>
      <c r="B49" s="34" t="str">
        <f t="shared" si="0"/>
        <v>-</v>
      </c>
      <c r="C49" s="35" t="s">
        <v>111</v>
      </c>
      <c r="D49" s="237"/>
    </row>
    <row r="50" spans="1:6">
      <c r="A50" s="174" t="s">
        <v>77</v>
      </c>
      <c r="B50" s="34">
        <f t="shared" si="0"/>
        <v>16.899999999999991</v>
      </c>
      <c r="C50" s="34">
        <f>B50*2</f>
        <v>33.799999999999983</v>
      </c>
      <c r="D50" s="237"/>
    </row>
    <row r="51" spans="1:6">
      <c r="A51" s="174" t="s">
        <v>78</v>
      </c>
      <c r="B51" s="34">
        <f t="shared" si="0"/>
        <v>1507.1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9068.4369977133174</v>
      </c>
      <c r="C5" s="18">
        <f>IF(ISERROR('Eigen informatie GS &amp; warmtenet'!B58),0,'Eigen informatie GS &amp; warmtenet'!B58)</f>
        <v>0</v>
      </c>
      <c r="D5" s="31">
        <f>SUM(D6:D12)</f>
        <v>8204.2055702365997</v>
      </c>
      <c r="E5" s="18">
        <f>SUM(E6:E12)</f>
        <v>73.913081113096382</v>
      </c>
      <c r="F5" s="18">
        <f>SUM(F6:F12)</f>
        <v>2228.7706935371293</v>
      </c>
      <c r="G5" s="19"/>
      <c r="H5" s="18"/>
      <c r="I5" s="18"/>
      <c r="J5" s="18">
        <f>SUM(J6:J12)</f>
        <v>0</v>
      </c>
      <c r="K5" s="18"/>
      <c r="L5" s="18"/>
      <c r="M5" s="18"/>
      <c r="N5" s="18">
        <f>SUM(N6:N12)</f>
        <v>2173.1034240125323</v>
      </c>
      <c r="O5" s="18">
        <f>B38*B39*B40</f>
        <v>0</v>
      </c>
      <c r="P5" s="18">
        <f>B46*B47*B48/1000-B46*B47*B48/1000/B49</f>
        <v>0</v>
      </c>
      <c r="R5" s="33"/>
    </row>
    <row r="6" spans="1:18">
      <c r="A6" s="33" t="s">
        <v>54</v>
      </c>
      <c r="B6" s="38">
        <f>B26</f>
        <v>1512.11027222141</v>
      </c>
      <c r="C6" s="34"/>
      <c r="D6" s="38">
        <f>IF(ISERROR(TER_kantoor_gas_kWh/1000),0,TER_kantoor_gas_kWh/1000)*0.902</f>
        <v>3157.5492243134454</v>
      </c>
      <c r="E6" s="34">
        <f>$C$26*'E Balans VL '!I12/100/3.6*1000000</f>
        <v>2.4816794249485068</v>
      </c>
      <c r="F6" s="34">
        <f>$C$26*('E Balans VL '!L12+'E Balans VL '!N12)/100/3.6*1000000</f>
        <v>178.24222307224716</v>
      </c>
      <c r="G6" s="35"/>
      <c r="H6" s="34"/>
      <c r="I6" s="34"/>
      <c r="J6" s="34">
        <f>$C$26*('E Balans VL '!D12+'E Balans VL '!E12)/100/3.6*1000000</f>
        <v>0</v>
      </c>
      <c r="K6" s="34"/>
      <c r="L6" s="34"/>
      <c r="M6" s="34"/>
      <c r="N6" s="34">
        <f>$C$26*'E Balans VL '!Y12/100/3.6*1000000</f>
        <v>0.30551472007399127</v>
      </c>
      <c r="O6" s="34"/>
      <c r="P6" s="34"/>
      <c r="R6" s="33"/>
    </row>
    <row r="7" spans="1:18">
      <c r="A7" s="33" t="s">
        <v>53</v>
      </c>
      <c r="B7" s="38">
        <f t="shared" ref="B7:B12" si="0">B27</f>
        <v>498.80070358791903</v>
      </c>
      <c r="C7" s="34"/>
      <c r="D7" s="38">
        <f>IF(ISERROR(TER_horeca_gas_kWh/1000),0,TER_horeca_gas_kWh/1000)*0.902</f>
        <v>618.59807390274364</v>
      </c>
      <c r="E7" s="34">
        <f>$C$27*'E Balans VL '!I9/100/3.6*1000000</f>
        <v>25.884147117083572</v>
      </c>
      <c r="F7" s="34">
        <f>$C$27*('E Balans VL '!L9+'E Balans VL '!N9)/100/3.6*1000000</f>
        <v>113.82668249034744</v>
      </c>
      <c r="G7" s="35"/>
      <c r="H7" s="34"/>
      <c r="I7" s="34"/>
      <c r="J7" s="34">
        <f>$C$27*('E Balans VL '!D9+'E Balans VL '!E9)/100/3.6*1000000</f>
        <v>0</v>
      </c>
      <c r="K7" s="34"/>
      <c r="L7" s="34"/>
      <c r="M7" s="34"/>
      <c r="N7" s="34">
        <f>$C$27*'E Balans VL '!Y9/100/3.6*1000000</f>
        <v>5.2673125713489248E-2</v>
      </c>
      <c r="O7" s="34"/>
      <c r="P7" s="34"/>
      <c r="R7" s="33"/>
    </row>
    <row r="8" spans="1:18">
      <c r="A8" s="6" t="s">
        <v>52</v>
      </c>
      <c r="B8" s="38">
        <f t="shared" si="0"/>
        <v>1265.57062394379</v>
      </c>
      <c r="C8" s="34"/>
      <c r="D8" s="38">
        <f>IF(ISERROR(TER_handel_gas_kWh/1000),0,TER_handel_gas_kWh/1000)*0.902</f>
        <v>357.63778714081883</v>
      </c>
      <c r="E8" s="34">
        <f>$C$28*'E Balans VL '!I13/100/3.6*1000000</f>
        <v>6.8152533278969853</v>
      </c>
      <c r="F8" s="34">
        <f>$C$28*('E Balans VL '!L13+'E Balans VL '!N13)/100/3.6*1000000</f>
        <v>258.08745959372811</v>
      </c>
      <c r="G8" s="35"/>
      <c r="H8" s="34"/>
      <c r="I8" s="34"/>
      <c r="J8" s="34">
        <f>$C$28*('E Balans VL '!D13+'E Balans VL '!E13)/100/3.6*1000000</f>
        <v>0</v>
      </c>
      <c r="K8" s="34"/>
      <c r="L8" s="34"/>
      <c r="M8" s="34"/>
      <c r="N8" s="34">
        <f>$C$28*'E Balans VL '!Y13/100/3.6*1000000</f>
        <v>6.2930143841739694</v>
      </c>
      <c r="O8" s="34"/>
      <c r="P8" s="34"/>
      <c r="R8" s="33"/>
    </row>
    <row r="9" spans="1:18">
      <c r="A9" s="33" t="s">
        <v>51</v>
      </c>
      <c r="B9" s="38">
        <f t="shared" si="0"/>
        <v>1260.63532849577</v>
      </c>
      <c r="C9" s="34"/>
      <c r="D9" s="38">
        <f>IF(ISERROR(TER_gezond_gas_kWh/1000),0,TER_gezond_gas_kWh/1000)*0.902</f>
        <v>200.25422321114874</v>
      </c>
      <c r="E9" s="34">
        <f>$C$29*'E Balans VL '!I10/100/3.6*1000000</f>
        <v>1.2493039464249331</v>
      </c>
      <c r="F9" s="34">
        <f>$C$29*('E Balans VL '!L10+'E Balans VL '!N10)/100/3.6*1000000</f>
        <v>437.40412256871167</v>
      </c>
      <c r="G9" s="35"/>
      <c r="H9" s="34"/>
      <c r="I9" s="34"/>
      <c r="J9" s="34">
        <f>$C$29*('E Balans VL '!D10+'E Balans VL '!E10)/100/3.6*1000000</f>
        <v>0</v>
      </c>
      <c r="K9" s="34"/>
      <c r="L9" s="34"/>
      <c r="M9" s="34"/>
      <c r="N9" s="34">
        <f>$C$29*'E Balans VL '!Y10/100/3.6*1000000</f>
        <v>10.86278541733312</v>
      </c>
      <c r="O9" s="34"/>
      <c r="P9" s="34"/>
      <c r="R9" s="33"/>
    </row>
    <row r="10" spans="1:18">
      <c r="A10" s="33" t="s">
        <v>50</v>
      </c>
      <c r="B10" s="38">
        <f t="shared" si="0"/>
        <v>3634.4478963068</v>
      </c>
      <c r="C10" s="34"/>
      <c r="D10" s="38">
        <f>IF(ISERROR(TER_ander_gas_kWh/1000),0,TER_ander_gas_kWh/1000)*0.902</f>
        <v>415.19897874439357</v>
      </c>
      <c r="E10" s="34">
        <f>$C$30*'E Balans VL '!I14/100/3.6*1000000</f>
        <v>29.733416163772297</v>
      </c>
      <c r="F10" s="34">
        <f>$C$30*('E Balans VL '!L14+'E Balans VL '!N14)/100/3.6*1000000</f>
        <v>1062.564600378078</v>
      </c>
      <c r="G10" s="35"/>
      <c r="H10" s="34"/>
      <c r="I10" s="34"/>
      <c r="J10" s="34">
        <f>$C$30*('E Balans VL '!D14+'E Balans VL '!E14)/100/3.6*1000000</f>
        <v>0</v>
      </c>
      <c r="K10" s="34"/>
      <c r="L10" s="34"/>
      <c r="M10" s="34"/>
      <c r="N10" s="34">
        <f>$C$30*'E Balans VL '!Y14/100/3.6*1000000</f>
        <v>2096.5995563113365</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896.87217315762803</v>
      </c>
      <c r="C12" s="34"/>
      <c r="D12" s="38">
        <f>IF(ISERROR(TER_rest_gas_kWh/1000),0,TER_rest_gas_kWh/1000)*0.902</f>
        <v>3454.9672829240494</v>
      </c>
      <c r="E12" s="34">
        <f>$C$32*'E Balans VL '!I8/100/3.6*1000000</f>
        <v>7.7492811329700899</v>
      </c>
      <c r="F12" s="34">
        <f>$C$32*('E Balans VL '!L8+'E Balans VL '!N8)/100/3.6*1000000</f>
        <v>178.64560543401694</v>
      </c>
      <c r="G12" s="35"/>
      <c r="H12" s="34"/>
      <c r="I12" s="34"/>
      <c r="J12" s="34">
        <f>$C$32*('E Balans VL '!D8+'E Balans VL '!E8)/100/3.6*1000000</f>
        <v>0</v>
      </c>
      <c r="K12" s="34"/>
      <c r="L12" s="34"/>
      <c r="M12" s="34"/>
      <c r="N12" s="34">
        <f>$C$32*'E Balans VL '!Y8/100/3.6*1000000</f>
        <v>58.989880053901295</v>
      </c>
      <c r="O12" s="34"/>
      <c r="P12" s="34"/>
      <c r="R12" s="33"/>
    </row>
    <row r="13" spans="1:18">
      <c r="A13" s="17" t="s">
        <v>502</v>
      </c>
      <c r="B13" s="250">
        <f ca="1">'lokale energieproductie'!N90+'lokale energieproductie'!N59</f>
        <v>4918.5</v>
      </c>
      <c r="C13" s="250">
        <f ca="1">'lokale energieproductie'!O90+'lokale energieproductie'!O59</f>
        <v>77.142857142857139</v>
      </c>
      <c r="D13" s="312">
        <f ca="1">('lokale energieproductie'!P59+'lokale energieproductie'!P90)*(-1)</f>
        <v>-154.28571428571431</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-13898.571428571429</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13986.936997713317</v>
      </c>
      <c r="C16" s="22">
        <f t="shared" ca="1" si="1"/>
        <v>77.142857142857139</v>
      </c>
      <c r="D16" s="22">
        <f t="shared" ca="1" si="1"/>
        <v>8049.919855950885</v>
      </c>
      <c r="E16" s="22">
        <f t="shared" si="1"/>
        <v>73.913081113096382</v>
      </c>
      <c r="F16" s="22">
        <f t="shared" ca="1" si="1"/>
        <v>2228.7706935371293</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0.18000592199380477</v>
      </c>
      <c r="C18" s="26">
        <f ca="1">'EF ele_warmte'!B22</f>
        <v>0.23764705882352949</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2517.7314901426453</v>
      </c>
      <c r="C20" s="24">
        <f t="shared" ref="C20:P20" ca="1" si="2">C16*C18</f>
        <v>18.332773109243703</v>
      </c>
      <c r="D20" s="24">
        <f t="shared" ca="1" si="2"/>
        <v>1626.0838109020788</v>
      </c>
      <c r="E20" s="24">
        <f t="shared" si="2"/>
        <v>16.778269412672881</v>
      </c>
      <c r="F20" s="24">
        <f t="shared" ca="1" si="2"/>
        <v>595.08177517441356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1512.11027222141</v>
      </c>
      <c r="C26" s="40">
        <f>IF(ISERROR(B26*3.6/1000000/'E Balans VL '!Z12*100),0,B26*3.6/1000000/'E Balans VL '!Z12*100)</f>
        <v>3.2131258903487253E-2</v>
      </c>
      <c r="D26" s="240" t="s">
        <v>707</v>
      </c>
      <c r="F26" s="6"/>
    </row>
    <row r="27" spans="1:18">
      <c r="A27" s="234" t="s">
        <v>53</v>
      </c>
      <c r="B27" s="34">
        <f>IF(ISERROR(TER_horeca_ele_kWh/1000),0,TER_horeca_ele_kWh/1000)</f>
        <v>498.80070358791903</v>
      </c>
      <c r="C27" s="40">
        <f>IF(ISERROR(B27*3.6/1000000/'E Balans VL '!Z9*100),0,B27*3.6/1000000/'E Balans VL '!Z9*100)</f>
        <v>3.9259472581482671E-2</v>
      </c>
      <c r="D27" s="240" t="s">
        <v>707</v>
      </c>
      <c r="F27" s="6"/>
    </row>
    <row r="28" spans="1:18">
      <c r="A28" s="174" t="s">
        <v>52</v>
      </c>
      <c r="B28" s="34">
        <f>IF(ISERROR(TER_handel_ele_kWh/1000),0,TER_handel_ele_kWh/1000)</f>
        <v>1265.57062394379</v>
      </c>
      <c r="C28" s="40">
        <f>IF(ISERROR(B28*3.6/1000000/'E Balans VL '!Z13*100),0,B28*3.6/1000000/'E Balans VL '!Z13*100)</f>
        <v>3.5449310483323629E-2</v>
      </c>
      <c r="D28" s="240" t="s">
        <v>707</v>
      </c>
      <c r="F28" s="6"/>
    </row>
    <row r="29" spans="1:18">
      <c r="A29" s="234" t="s">
        <v>51</v>
      </c>
      <c r="B29" s="34">
        <f>IF(ISERROR(TER_gezond_ele_kWh/1000),0,TER_gezond_ele_kWh/1000)</f>
        <v>1260.63532849577</v>
      </c>
      <c r="C29" s="40">
        <f>IF(ISERROR(B29*3.6/1000000/'E Balans VL '!Z10*100),0,B29*3.6/1000000/'E Balans VL '!Z10*100)</f>
        <v>0.16127337859167978</v>
      </c>
      <c r="D29" s="240" t="s">
        <v>707</v>
      </c>
      <c r="F29" s="6"/>
    </row>
    <row r="30" spans="1:18">
      <c r="A30" s="234" t="s">
        <v>50</v>
      </c>
      <c r="B30" s="34">
        <f>IF(ISERROR(TER_ander_ele_kWh/1000),0,TER_ander_ele_kWh/1000)</f>
        <v>3634.4478963068</v>
      </c>
      <c r="C30" s="40">
        <f>IF(ISERROR(B30*3.6/1000000/'E Balans VL '!Z14*100),0,B30*3.6/1000000/'E Balans VL '!Z14*100)</f>
        <v>0.27182607825079985</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896.87217315762803</v>
      </c>
      <c r="C32" s="40">
        <f>IF(ISERROR(B32*3.6/1000000/'E Balans VL '!Z8*100),0,B32*3.6/1000000/'E Balans VL '!Z8*100)</f>
        <v>7.3883720338557791E-3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1090.3809620014144</v>
      </c>
      <c r="C5" s="18">
        <f>IF(ISERROR('Eigen informatie GS &amp; warmtenet'!B59),0,'Eigen informatie GS &amp; warmtenet'!B59)</f>
        <v>0</v>
      </c>
      <c r="D5" s="31">
        <f>SUM(D6:D15)</f>
        <v>581.54627547398411</v>
      </c>
      <c r="E5" s="18">
        <f>SUM(E6:E15)</f>
        <v>8.5329313641381308</v>
      </c>
      <c r="F5" s="18">
        <f>SUM(F6:F15)</f>
        <v>462.4038864446095</v>
      </c>
      <c r="G5" s="19"/>
      <c r="H5" s="18"/>
      <c r="I5" s="18"/>
      <c r="J5" s="18">
        <f>SUM(J6:J15)</f>
        <v>2.7033110694326541</v>
      </c>
      <c r="K5" s="18"/>
      <c r="L5" s="18"/>
      <c r="M5" s="18"/>
      <c r="N5" s="18">
        <f>SUM(N6:N15)</f>
        <v>49.985633036199424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22.873959380934402</v>
      </c>
      <c r="C8" s="34"/>
      <c r="D8" s="38">
        <f>IF( ISERROR(IND_metaal_Gas_kWH/1000),0,IND_metaal_Gas_kWH/1000)*0.902</f>
        <v>0</v>
      </c>
      <c r="E8" s="34">
        <f>C30*'E Balans VL '!I18/100/3.6*1000000</f>
        <v>0.20830902591209438</v>
      </c>
      <c r="F8" s="34">
        <f>C30*'E Balans VL '!L18/100/3.6*1000000+C30*'E Balans VL '!N18/100/3.6*1000000</f>
        <v>3.0169015345141834</v>
      </c>
      <c r="G8" s="35"/>
      <c r="H8" s="34"/>
      <c r="I8" s="34"/>
      <c r="J8" s="41">
        <f>C30*'E Balans VL '!D18/100/3.6*1000000+C30*'E Balans VL '!E18/100/3.6*1000000</f>
        <v>0.37509972205422404</v>
      </c>
      <c r="K8" s="34"/>
      <c r="L8" s="34"/>
      <c r="M8" s="34"/>
      <c r="N8" s="34">
        <f>C30*'E Balans VL '!Y18/100/3.6*1000000</f>
        <v>7.860871173521651E-2</v>
      </c>
      <c r="O8" s="34"/>
      <c r="P8" s="34"/>
      <c r="R8" s="33"/>
    </row>
    <row r="9" spans="1:18">
      <c r="A9" s="6" t="s">
        <v>33</v>
      </c>
      <c r="B9" s="38">
        <f t="shared" si="0"/>
        <v>440.91525848130004</v>
      </c>
      <c r="C9" s="34"/>
      <c r="D9" s="38">
        <f>IF( ISERROR(IND_andere_gas_kWh/1000),0,IND_andere_gas_kWh/1000)*0.902</f>
        <v>0</v>
      </c>
      <c r="E9" s="34">
        <f>C31*'E Balans VL '!I19/100/3.6*1000000</f>
        <v>2.5485560833573908</v>
      </c>
      <c r="F9" s="34">
        <f>C31*'E Balans VL '!L19/100/3.6*1000000+C31*'E Balans VL '!N19/100/3.6*1000000</f>
        <v>350.76930412456426</v>
      </c>
      <c r="G9" s="35"/>
      <c r="H9" s="34"/>
      <c r="I9" s="34"/>
      <c r="J9" s="41">
        <f>C31*'E Balans VL '!D19/100/3.6*1000000+C31*'E Balans VL '!E19/100/3.6*1000000</f>
        <v>4.1705685904356929E-2</v>
      </c>
      <c r="K9" s="34"/>
      <c r="L9" s="34"/>
      <c r="M9" s="34"/>
      <c r="N9" s="34">
        <f>C31*'E Balans VL '!Y19/100/3.6*1000000</f>
        <v>33.406003336036505</v>
      </c>
      <c r="O9" s="34"/>
      <c r="P9" s="34"/>
      <c r="R9" s="33"/>
    </row>
    <row r="10" spans="1:18">
      <c r="A10" s="6" t="s">
        <v>41</v>
      </c>
      <c r="B10" s="38">
        <f t="shared" si="0"/>
        <v>172.041748094327</v>
      </c>
      <c r="C10" s="34"/>
      <c r="D10" s="38">
        <f>IF( ISERROR(IND_voed_gas_kWh/1000),0,IND_voed_gas_kWh/1000)*0.902</f>
        <v>347.19101384182477</v>
      </c>
      <c r="E10" s="34">
        <f>C32*'E Balans VL '!I20/100/3.6*1000000</f>
        <v>1.6916204710126965</v>
      </c>
      <c r="F10" s="34">
        <f>C32*'E Balans VL '!L20/100/3.6*1000000+C32*'E Balans VL '!N20/100/3.6*1000000</f>
        <v>19.107481725633395</v>
      </c>
      <c r="G10" s="35"/>
      <c r="H10" s="34"/>
      <c r="I10" s="34"/>
      <c r="J10" s="41">
        <f>C32*'E Balans VL '!D20/100/3.6*1000000+C32*'E Balans VL '!E20/100/3.6*1000000</f>
        <v>6.7809463149378507E-4</v>
      </c>
      <c r="K10" s="34"/>
      <c r="L10" s="34"/>
      <c r="M10" s="34"/>
      <c r="N10" s="34">
        <f>C32*'E Balans VL '!Y20/100/3.6*1000000</f>
        <v>2.5475336044285553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454.549996044853</v>
      </c>
      <c r="C15" s="34"/>
      <c r="D15" s="38">
        <f>IF( ISERROR(IND_rest_gas_kWh/1000),0,IND_rest_gas_kWh/1000)*0.902</f>
        <v>234.35526163215934</v>
      </c>
      <c r="E15" s="34">
        <f>C37*'E Balans VL '!I15/100/3.6*1000000</f>
        <v>4.0844457838559487</v>
      </c>
      <c r="F15" s="34">
        <f>C37*'E Balans VL '!L15/100/3.6*1000000+C37*'E Balans VL '!N15/100/3.6*1000000</f>
        <v>89.510199059897587</v>
      </c>
      <c r="G15" s="35"/>
      <c r="H15" s="34"/>
      <c r="I15" s="34"/>
      <c r="J15" s="41">
        <f>C37*'E Balans VL '!D15/100/3.6*1000000+C37*'E Balans VL '!E15/100/3.6*1000000</f>
        <v>2.2858275668425794</v>
      </c>
      <c r="K15" s="34"/>
      <c r="L15" s="34"/>
      <c r="M15" s="34"/>
      <c r="N15" s="34">
        <f>C37*'E Balans VL '!Y15/100/3.6*1000000</f>
        <v>13.953487383999146</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1090.3809620014144</v>
      </c>
      <c r="C18" s="22">
        <f>C5+C16</f>
        <v>0</v>
      </c>
      <c r="D18" s="22">
        <f>MAX((D5+D16),0)</f>
        <v>581.54627547398411</v>
      </c>
      <c r="E18" s="22">
        <f>MAX((E5+E16),0)</f>
        <v>8.5329313641381308</v>
      </c>
      <c r="F18" s="22">
        <f>MAX((F5+F16),0)</f>
        <v>462.4038864446095</v>
      </c>
      <c r="G18" s="22"/>
      <c r="H18" s="22"/>
      <c r="I18" s="22"/>
      <c r="J18" s="22">
        <f>MAX((J5+J16),0)</f>
        <v>2.7033110694326541</v>
      </c>
      <c r="K18" s="22"/>
      <c r="L18" s="22">
        <f>MAX((L5+L16),0)</f>
        <v>0</v>
      </c>
      <c r="M18" s="22"/>
      <c r="N18" s="22">
        <f>MAX((N5+N16),0)</f>
        <v>49.985633036199424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0.18000592199380477</v>
      </c>
      <c r="C20" s="26">
        <f ca="1">'EF ele_warmte'!B22</f>
        <v>0.23764705882352949</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196.27503038955641</v>
      </c>
      <c r="C22" s="24">
        <f ca="1">C18*C20</f>
        <v>0</v>
      </c>
      <c r="D22" s="24">
        <f>D18*D20</f>
        <v>117.4723476457448</v>
      </c>
      <c r="E22" s="24">
        <f>E18*E20</f>
        <v>1.9369754196593558</v>
      </c>
      <c r="F22" s="24">
        <f>F18*F20</f>
        <v>123.46183768071074</v>
      </c>
      <c r="G22" s="24"/>
      <c r="H22" s="24"/>
      <c r="I22" s="24"/>
      <c r="J22" s="24">
        <f>J18*J20</f>
        <v>0.95697211857915954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22.873959380934402</v>
      </c>
      <c r="C30" s="40">
        <f>IF(ISERROR(B30*3.6/1000000/'E Balans VL '!Z18*100),0,B30*3.6/1000000/'E Balans VL '!Z18*100)</f>
        <v>1.2727828826949493E-3</v>
      </c>
      <c r="D30" s="240" t="s">
        <v>707</v>
      </c>
    </row>
    <row r="31" spans="1:18">
      <c r="A31" s="6" t="s">
        <v>33</v>
      </c>
      <c r="B31" s="38">
        <f>IF( ISERROR(IND_ander_ele_kWh/1000),0,IND_ander_ele_kWh/1000)</f>
        <v>440.91525848130004</v>
      </c>
      <c r="C31" s="40">
        <f>IF(ISERROR(B31*3.6/1000000/'E Balans VL '!Z19*100),0,B31*3.6/1000000/'E Balans VL '!Z19*100)</f>
        <v>2.0496992389854602E-2</v>
      </c>
      <c r="D31" s="240" t="s">
        <v>707</v>
      </c>
    </row>
    <row r="32" spans="1:18">
      <c r="A32" s="174" t="s">
        <v>41</v>
      </c>
      <c r="B32" s="38">
        <f>IF( ISERROR(IND_voed_ele_kWh/1000),0,IND_voed_ele_kWh/1000)</f>
        <v>172.041748094327</v>
      </c>
      <c r="C32" s="40">
        <f>IF(ISERROR(B32*3.6/1000000/'E Balans VL '!Z20*100),0,B32*3.6/1000000/'E Balans VL '!Z20*100)</f>
        <v>6.0813283421093959E-3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454.549996044853</v>
      </c>
      <c r="C37" s="40">
        <f>IF(ISERROR(B37*3.6/1000000/'E Balans VL '!Z15*100),0,B37*3.6/1000000/'E Balans VL '!Z15*100)</f>
        <v>3.4325239420193972E-3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401.15584351066411</v>
      </c>
      <c r="C5" s="18">
        <f>'Eigen informatie GS &amp; warmtenet'!B60</f>
        <v>0</v>
      </c>
      <c r="D5" s="31">
        <f>IF(ISERROR(SUM(LB_lb_gas_kWh,LB_rest_gas_kWh,onbekend_gas_kWh)/1000),0,SUM(LB_lb_gas_kWh,LB_rest_gas_kWh,onbekend_gas_kWh)/1000)*0.902</f>
        <v>702.34524570083192</v>
      </c>
      <c r="E5" s="18">
        <f>B17*'E Balans VL '!I25/3.6*1000000/100</f>
        <v>3.7791568291025306</v>
      </c>
      <c r="F5" s="18">
        <f>B17*('E Balans VL '!L25/3.6*1000000+'E Balans VL '!N25/3.6*1000000)/100</f>
        <v>1309.1046493076776</v>
      </c>
      <c r="G5" s="19"/>
      <c r="H5" s="18"/>
      <c r="I5" s="18"/>
      <c r="J5" s="18">
        <f>('E Balans VL '!D25+'E Balans VL '!E25)/3.6*1000000*landbouw!B17/100</f>
        <v>49.624929063917179</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401.15584351066411</v>
      </c>
      <c r="C8" s="22">
        <f>C5+C6</f>
        <v>0</v>
      </c>
      <c r="D8" s="22">
        <f>MAX((D5+D6),0)</f>
        <v>702.34524570083192</v>
      </c>
      <c r="E8" s="22">
        <f>MAX((E5+E6),0)</f>
        <v>3.7791568291025306</v>
      </c>
      <c r="F8" s="22">
        <f>MAX((F5+F6),0)</f>
        <v>1309.1046493076776</v>
      </c>
      <c r="G8" s="22"/>
      <c r="H8" s="22"/>
      <c r="I8" s="22"/>
      <c r="J8" s="22">
        <f>MAX((J5+J6),0)</f>
        <v>49.624929063917179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0.18000592199380477</v>
      </c>
      <c r="C10" s="32">
        <f ca="1">'EF ele_warmte'!B22</f>
        <v>0.23764705882352949</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72.210427474339554</v>
      </c>
      <c r="C12" s="24">
        <f ca="1">C8*C10</f>
        <v>0</v>
      </c>
      <c r="D12" s="24">
        <f>D8*D10</f>
        <v>141.87373963156807</v>
      </c>
      <c r="E12" s="24">
        <f>E8*E10</f>
        <v>0.85786860020627442</v>
      </c>
      <c r="F12" s="24">
        <f>F8*F10</f>
        <v>349.53094136514994</v>
      </c>
      <c r="G12" s="24"/>
      <c r="H12" s="24"/>
      <c r="I12" s="24"/>
      <c r="J12" s="24">
        <f>J8*J10</f>
        <v>17.567224888626679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5.4310090945881385E-2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163.84151198451787</v>
      </c>
      <c r="C26" s="250">
        <f>B26*'GWP N2O_CH4'!B5</f>
        <v>3440.6717516748749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25.493721439446087</v>
      </c>
      <c r="C27" s="250">
        <f>B27*'GWP N2O_CH4'!B5</f>
        <v>535.36815022836788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2.2612217134695038</v>
      </c>
      <c r="C28" s="250">
        <f>B28*'GWP N2O_CH4'!B4</f>
        <v>700.97873117554616</v>
      </c>
      <c r="D28" s="51"/>
    </row>
    <row r="29" spans="1:4">
      <c r="A29" s="42" t="s">
        <v>277</v>
      </c>
      <c r="B29" s="250">
        <f>B34*'ha_N2O bodem landbouw'!B4</f>
        <v>10.363370560929937</v>
      </c>
      <c r="C29" s="250">
        <f>B29*'GWP N2O_CH4'!B4</f>
        <v>3212.6448738882805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2.7977838097804804E-3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5.2761767573081174E-6</v>
      </c>
      <c r="C5" s="447" t="s">
        <v>211</v>
      </c>
      <c r="D5" s="432">
        <f>SUM(D6:D11)</f>
        <v>1.7870825749281923E-5</v>
      </c>
      <c r="E5" s="432">
        <f>SUM(E6:E11)</f>
        <v>1.0041356142704743E-3</v>
      </c>
      <c r="F5" s="445" t="s">
        <v>211</v>
      </c>
      <c r="G5" s="432">
        <f>SUM(G6:G11)</f>
        <v>0.16431169000858142</v>
      </c>
      <c r="H5" s="432">
        <f>SUM(H6:H11)</f>
        <v>3.9068186772144874E-2</v>
      </c>
      <c r="I5" s="447" t="s">
        <v>211</v>
      </c>
      <c r="J5" s="447" t="s">
        <v>211</v>
      </c>
      <c r="K5" s="447" t="s">
        <v>211</v>
      </c>
      <c r="L5" s="447" t="s">
        <v>211</v>
      </c>
      <c r="M5" s="432">
        <f>SUM(M6:M11)</f>
        <v>9.1039069614390986E-3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2.7050852119729685E-6</v>
      </c>
      <c r="C6" s="433"/>
      <c r="D6" s="433">
        <f>vkm_2011_GW_PW*SUMIFS(TableVerdeelsleutelVkm[CNG],TableVerdeelsleutelVkm[Voertuigtype],"Lichte voertuigen")*SUMIFS(TableECFTransport[EnergieConsumptieFactor (PJ per km)],TableECFTransport[Index],CONCATENATE($A6,"_CNG_CNG"))</f>
        <v>6.6058633899879841E-6</v>
      </c>
      <c r="E6" s="435">
        <f>vkm_2011_GW_PW*SUMIFS(TableVerdeelsleutelVkm[LPG],TableVerdeelsleutelVkm[Voertuigtype],"Lichte voertuigen")*SUMIFS(TableECFTransport[EnergieConsumptieFactor (PJ per km)],TableECFTransport[Index],CONCATENATE($A6,"_LPG_LPG"))</f>
        <v>3.9156144357455714E-4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5.6604812792498002E-2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1.4834495206766342E-2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3.19918377576206E-3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1.3215424450373601E-2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5.3319085396333167E-6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5.8874307044044891E-4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2.5710915453351493E-6</v>
      </c>
      <c r="C8" s="433"/>
      <c r="D8" s="435">
        <f>vkm_2011_NGW_PW*SUMIFS(TableVerdeelsleutelVkm[CNG],TableVerdeelsleutelVkm[Voertuigtype],"Lichte voertuigen")*SUMIFS(TableECFTransport[EnergieConsumptieFactor (PJ per km)],TableECFTransport[Index],CONCATENATE($A8,"_CNG_CNG"))</f>
        <v>1.126496235929394E-5</v>
      </c>
      <c r="E8" s="435">
        <f>vkm_2011_NGW_PW*SUMIFS(TableVerdeelsleutelVkm[LPG],TableVerdeelsleutelVkm[Voertuigtype],"Lichte voertuigen")*SUMIFS(TableECFTransport[EnergieConsumptieFactor (PJ per km)],TableECFTransport[Index],CONCATENATE($A8,"_LPG_LPG"))</f>
        <v>6.125741706959171E-4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8.3656389772140238E-2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2.4224553388836501E-2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4.8333072650146459E-3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1.0835062993569558E-2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3.8062680023973081E-6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4.8267285022194359E-4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1.4656046548078103</v>
      </c>
      <c r="C14" s="22"/>
      <c r="D14" s="22">
        <f t="shared" ref="D14:M14" si="0">((D5)*10^9/3600)+D12</f>
        <v>4.9641182636894232</v>
      </c>
      <c r="E14" s="22">
        <f t="shared" si="0"/>
        <v>278.92655951957619</v>
      </c>
      <c r="F14" s="22"/>
      <c r="G14" s="22">
        <f t="shared" si="0"/>
        <v>45642.136113494838</v>
      </c>
      <c r="H14" s="22">
        <f t="shared" si="0"/>
        <v>10852.274103373577</v>
      </c>
      <c r="I14" s="22"/>
      <c r="J14" s="22"/>
      <c r="K14" s="22"/>
      <c r="L14" s="22"/>
      <c r="M14" s="22">
        <f t="shared" si="0"/>
        <v>2528.8630448441941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0.18000592199380477</v>
      </c>
      <c r="C16" s="57">
        <f ca="1">'EF ele_warmte'!B22</f>
        <v>0.23764705882352949</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0.2638175171670919</v>
      </c>
      <c r="C18" s="24"/>
      <c r="D18" s="24">
        <f t="shared" ref="D18:M18" si="1">D14*D16</f>
        <v>1.0027518892652636</v>
      </c>
      <c r="E18" s="24">
        <f t="shared" si="1"/>
        <v>63.316329010943797</v>
      </c>
      <c r="F18" s="24"/>
      <c r="G18" s="24">
        <f t="shared" si="1"/>
        <v>12186.450342303122</v>
      </c>
      <c r="H18" s="24">
        <f t="shared" si="1"/>
        <v>2702.2162517400207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8.911335745517248E-3</v>
      </c>
      <c r="H50" s="323">
        <f t="shared" si="2"/>
        <v>0</v>
      </c>
      <c r="I50" s="323">
        <f t="shared" si="2"/>
        <v>0</v>
      </c>
      <c r="J50" s="323">
        <f t="shared" si="2"/>
        <v>0</v>
      </c>
      <c r="K50" s="323">
        <f t="shared" si="2"/>
        <v>0</v>
      </c>
      <c r="L50" s="323">
        <f t="shared" si="2"/>
        <v>0</v>
      </c>
      <c r="M50" s="323">
        <f t="shared" si="2"/>
        <v>3.9131145275348616E-4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8.911335745517248E-3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3.9131145275348616E-4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2475.371040421458</v>
      </c>
      <c r="H54" s="22">
        <f t="shared" si="3"/>
        <v>0</v>
      </c>
      <c r="I54" s="22">
        <f t="shared" si="3"/>
        <v>0</v>
      </c>
      <c r="J54" s="22">
        <f t="shared" si="3"/>
        <v>0</v>
      </c>
      <c r="K54" s="22">
        <f t="shared" si="3"/>
        <v>0</v>
      </c>
      <c r="L54" s="22">
        <f t="shared" si="3"/>
        <v>0</v>
      </c>
      <c r="M54" s="22">
        <f t="shared" si="3"/>
        <v>108.69762576485726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0.18000592199380477</v>
      </c>
      <c r="C56" s="57">
        <f ca="1">'EF ele_warmte'!B22</f>
        <v>0.23764705882352949</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660.92406779252929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3"/>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1624.8141247547442</v>
      </c>
      <c r="C6" s="1135"/>
      <c r="D6" s="1138"/>
      <c r="E6" s="1138"/>
      <c r="F6" s="1141"/>
      <c r="G6" s="1144"/>
      <c r="H6" s="1132"/>
      <c r="I6" s="1138"/>
      <c r="J6" s="1138"/>
      <c r="K6" s="1138"/>
      <c r="L6" s="1168"/>
      <c r="M6" s="560"/>
      <c r="N6" s="1180"/>
      <c r="O6" s="1181"/>
      <c r="Q6" s="558"/>
      <c r="R6" s="1165"/>
      <c r="S6" s="1165"/>
    </row>
    <row r="7" spans="1:19" s="548" customFormat="1">
      <c r="A7" s="561" t="s">
        <v>252</v>
      </c>
      <c r="B7" s="562">
        <f>N57</f>
        <v>54</v>
      </c>
      <c r="C7" s="563">
        <f>B100</f>
        <v>63.529411764705898</v>
      </c>
      <c r="D7" s="564"/>
      <c r="E7" s="564">
        <f>E100</f>
        <v>0</v>
      </c>
      <c r="F7" s="565"/>
      <c r="G7" s="566"/>
      <c r="H7" s="564">
        <f>I100</f>
        <v>0</v>
      </c>
      <c r="I7" s="564">
        <f>G100+F100</f>
        <v>0</v>
      </c>
      <c r="J7" s="564">
        <f>H100+D100+C100</f>
        <v>0</v>
      </c>
      <c r="K7" s="564"/>
      <c r="L7" s="567"/>
      <c r="M7" s="568">
        <f>C7*$C$11+D7*$D$11+E7*$E$11+F7*$F$11+G7*$G$11+H7*$H$11+I7*$I$11+J7*$J$11</f>
        <v>12.832941176470593</v>
      </c>
      <c r="N7" s="1180"/>
      <c r="O7" s="1181"/>
      <c r="Q7" s="558"/>
      <c r="R7" s="1165"/>
      <c r="S7" s="1165"/>
    </row>
    <row r="8" spans="1:19" s="548" customFormat="1" ht="17.45" customHeight="1" thickBot="1">
      <c r="A8" s="569" t="s">
        <v>248</v>
      </c>
      <c r="B8" s="570">
        <f>N88+'Eigen informatie GS &amp; warmtenet'!B12</f>
        <v>4864.5</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13898.571428571429</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6543.3141247547446</v>
      </c>
      <c r="C9" s="579">
        <f t="shared" ref="C9:L9" si="0">SUM(C7:C8)</f>
        <v>63.529411764705898</v>
      </c>
      <c r="D9" s="579">
        <f t="shared" si="0"/>
        <v>0</v>
      </c>
      <c r="E9" s="579">
        <f t="shared" si="0"/>
        <v>0</v>
      </c>
      <c r="F9" s="579">
        <f t="shared" si="0"/>
        <v>0</v>
      </c>
      <c r="G9" s="579">
        <f t="shared" si="0"/>
        <v>0</v>
      </c>
      <c r="H9" s="579">
        <f t="shared" si="0"/>
        <v>0</v>
      </c>
      <c r="I9" s="579">
        <f t="shared" si="0"/>
        <v>0</v>
      </c>
      <c r="J9" s="579">
        <f t="shared" si="0"/>
        <v>13898.571428571429</v>
      </c>
      <c r="K9" s="579">
        <f t="shared" si="0"/>
        <v>0</v>
      </c>
      <c r="L9" s="579">
        <f t="shared" si="0"/>
        <v>0</v>
      </c>
      <c r="M9" s="580">
        <f>SUM(M4:M8)</f>
        <v>12.832941176470593</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77.142857142857139</v>
      </c>
      <c r="C16" s="595">
        <f>B101</f>
        <v>90.756302521008422</v>
      </c>
      <c r="D16" s="596"/>
      <c r="E16" s="596">
        <f>E101</f>
        <v>0</v>
      </c>
      <c r="F16" s="597"/>
      <c r="G16" s="598"/>
      <c r="H16" s="595">
        <f>I101</f>
        <v>0</v>
      </c>
      <c r="I16" s="596">
        <f>G101+F101</f>
        <v>0</v>
      </c>
      <c r="J16" s="596">
        <f>H101+D101+C101</f>
        <v>0</v>
      </c>
      <c r="K16" s="596"/>
      <c r="L16" s="599"/>
      <c r="M16" s="600">
        <f>C16*$C$21+E16*$E$21+H16*$H$21+I16*$I$21+J16*$J$21+D16*$D$21+F16*$F$21+G16*$G$21+K16*$K$21+L16*$L$21</f>
        <v>18.332773109243703</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77.142857142857139</v>
      </c>
      <c r="C19" s="578">
        <f>SUM(C16:C18)</f>
        <v>90.756302521008422</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18.332773109243703</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63.75">
      <c r="A27" s="609"/>
      <c r="B27" s="840">
        <v>24045</v>
      </c>
      <c r="C27" s="840">
        <v>3040</v>
      </c>
      <c r="D27" s="657" t="s">
        <v>877</v>
      </c>
      <c r="E27" s="656" t="s">
        <v>878</v>
      </c>
      <c r="F27" s="656" t="s">
        <v>879</v>
      </c>
      <c r="G27" s="656" t="s">
        <v>880</v>
      </c>
      <c r="H27" s="656" t="s">
        <v>881</v>
      </c>
      <c r="I27" s="656" t="s">
        <v>878</v>
      </c>
      <c r="J27" s="839">
        <v>40026</v>
      </c>
      <c r="K27" s="839">
        <v>40891</v>
      </c>
      <c r="L27" s="656" t="s">
        <v>882</v>
      </c>
      <c r="M27" s="656">
        <v>12</v>
      </c>
      <c r="N27" s="656">
        <v>54</v>
      </c>
      <c r="O27" s="656">
        <v>77.142857142857139</v>
      </c>
      <c r="P27" s="656">
        <v>154.28571428571431</v>
      </c>
      <c r="Q27" s="656">
        <v>0</v>
      </c>
      <c r="R27" s="656">
        <v>0</v>
      </c>
      <c r="S27" s="656">
        <v>0</v>
      </c>
      <c r="T27" s="656">
        <v>0</v>
      </c>
      <c r="U27" s="656">
        <v>0</v>
      </c>
      <c r="V27" s="656">
        <v>0</v>
      </c>
      <c r="W27" s="656"/>
      <c r="X27" s="656">
        <v>1600</v>
      </c>
      <c r="Y27" s="656" t="s">
        <v>50</v>
      </c>
      <c r="Z27" s="658" t="s">
        <v>156</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12</v>
      </c>
      <c r="N57" s="614">
        <f>SUM(N27:N56)</f>
        <v>54</v>
      </c>
      <c r="O57" s="614">
        <f t="shared" ref="O57:W57" si="2">SUM(O27:O56)</f>
        <v>77.142857142857139</v>
      </c>
      <c r="P57" s="614">
        <f t="shared" si="2"/>
        <v>154.28571428571431</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12</v>
      </c>
      <c r="N59" s="614">
        <f ca="1">SUMIF($Z$27:AB56,"tertiair",N27:N56)</f>
        <v>54</v>
      </c>
      <c r="O59" s="614">
        <f ca="1">SUMIF($Z$27:AC56,"tertiair",O27:O56)</f>
        <v>77.142857142857139</v>
      </c>
      <c r="P59" s="614">
        <f ca="1">SUMIF($Z$27:AD56,"tertiair",P27:P56)</f>
        <v>154.28571428571431</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63.75">
      <c r="A63" s="611"/>
      <c r="B63" s="840">
        <v>24045</v>
      </c>
      <c r="C63" s="840">
        <v>3040</v>
      </c>
      <c r="D63" s="659" t="s">
        <v>883</v>
      </c>
      <c r="E63" s="659" t="s">
        <v>884</v>
      </c>
      <c r="F63" s="659" t="s">
        <v>885</v>
      </c>
      <c r="G63" s="659" t="s">
        <v>886</v>
      </c>
      <c r="H63" s="659" t="s">
        <v>887</v>
      </c>
      <c r="I63" s="659" t="s">
        <v>888</v>
      </c>
      <c r="J63" s="839">
        <v>37659</v>
      </c>
      <c r="K63" s="839">
        <v>37712</v>
      </c>
      <c r="L63" s="659" t="s">
        <v>889</v>
      </c>
      <c r="M63" s="659">
        <v>1081</v>
      </c>
      <c r="N63" s="659">
        <v>4864.5</v>
      </c>
      <c r="O63" s="659">
        <v>0</v>
      </c>
      <c r="P63" s="659">
        <v>0</v>
      </c>
      <c r="Q63" s="659">
        <v>0</v>
      </c>
      <c r="R63" s="659">
        <v>13898.571428571429</v>
      </c>
      <c r="S63" s="659">
        <v>0</v>
      </c>
      <c r="T63" s="659">
        <v>0</v>
      </c>
      <c r="U63" s="659">
        <v>0</v>
      </c>
      <c r="V63" s="659">
        <v>0</v>
      </c>
      <c r="W63" s="659"/>
      <c r="X63" s="659">
        <v>1600</v>
      </c>
      <c r="Y63" s="659" t="s">
        <v>50</v>
      </c>
      <c r="Z63" s="660" t="s">
        <v>156</v>
      </c>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1081</v>
      </c>
      <c r="N88" s="614">
        <f t="shared" ref="N88:W88" si="5">SUM(N63:N87)</f>
        <v>4864.5</v>
      </c>
      <c r="O88" s="614">
        <f t="shared" si="5"/>
        <v>0</v>
      </c>
      <c r="P88" s="614">
        <f t="shared" si="5"/>
        <v>0</v>
      </c>
      <c r="Q88" s="614">
        <f t="shared" si="5"/>
        <v>0</v>
      </c>
      <c r="R88" s="614">
        <f t="shared" si="5"/>
        <v>13898.571428571429</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1081</v>
      </c>
      <c r="N90" s="614">
        <f t="shared" ref="N90:W90" si="7">SUMIF($Z$63:$Z$88,"tertiair",N63:N88)</f>
        <v>4864.5</v>
      </c>
      <c r="O90" s="614">
        <f t="shared" si="7"/>
        <v>0</v>
      </c>
      <c r="P90" s="614">
        <f t="shared" si="7"/>
        <v>0</v>
      </c>
      <c r="Q90" s="614">
        <f t="shared" si="7"/>
        <v>0</v>
      </c>
      <c r="R90" s="614">
        <f t="shared" si="7"/>
        <v>13898.571428571429</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0.41176470588235298</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63.529411764705898</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90.756302521008422</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14725.083997713318</v>
      </c>
      <c r="D10" s="703">
        <f ca="1">tertiair!C16</f>
        <v>77.142857142857139</v>
      </c>
      <c r="E10" s="703">
        <f ca="1">tertiair!D16</f>
        <v>8049.919855950885</v>
      </c>
      <c r="F10" s="703">
        <f>tertiair!E16</f>
        <v>73.913081113096382</v>
      </c>
      <c r="G10" s="703">
        <f ca="1">tertiair!F16</f>
        <v>2228.7706935371293</v>
      </c>
      <c r="H10" s="703">
        <f>tertiair!G16</f>
        <v>0</v>
      </c>
      <c r="I10" s="703">
        <f>tertiair!H16</f>
        <v>0</v>
      </c>
      <c r="J10" s="703">
        <f>tertiair!I16</f>
        <v>0</v>
      </c>
      <c r="K10" s="703">
        <f>tertiair!J16</f>
        <v>0</v>
      </c>
      <c r="L10" s="703">
        <f>tertiair!K16</f>
        <v>0</v>
      </c>
      <c r="M10" s="703">
        <f ca="1">tertiair!L16</f>
        <v>0</v>
      </c>
      <c r="N10" s="703">
        <f>tertiair!M16</f>
        <v>0</v>
      </c>
      <c r="O10" s="703">
        <f ca="1">tertiair!N16</f>
        <v>0</v>
      </c>
      <c r="P10" s="703">
        <f>tertiair!O16</f>
        <v>0</v>
      </c>
      <c r="Q10" s="704">
        <f>tertiair!P16</f>
        <v>0</v>
      </c>
      <c r="R10" s="706">
        <f ca="1">SUM(C10:Q10)</f>
        <v>25154.830485457285</v>
      </c>
      <c r="S10" s="68"/>
    </row>
    <row r="11" spans="1:19" s="458" customFormat="1">
      <c r="A11" s="859" t="s">
        <v>225</v>
      </c>
      <c r="B11" s="864"/>
      <c r="C11" s="703">
        <f>huishoudens!B8</f>
        <v>18744.023977374232</v>
      </c>
      <c r="D11" s="703">
        <f>huishoudens!C8</f>
        <v>0</v>
      </c>
      <c r="E11" s="703">
        <f>huishoudens!D8</f>
        <v>25501.991739798374</v>
      </c>
      <c r="F11" s="703">
        <f>huishoudens!E8</f>
        <v>4172.5822060274904</v>
      </c>
      <c r="G11" s="703">
        <f>huishoudens!F8</f>
        <v>29749.979612912044</v>
      </c>
      <c r="H11" s="703">
        <f>huishoudens!G8</f>
        <v>0</v>
      </c>
      <c r="I11" s="703">
        <f>huishoudens!H8</f>
        <v>0</v>
      </c>
      <c r="J11" s="703">
        <f>huishoudens!I8</f>
        <v>0</v>
      </c>
      <c r="K11" s="703">
        <f>huishoudens!J8</f>
        <v>533.31361808352017</v>
      </c>
      <c r="L11" s="703">
        <f>huishoudens!K8</f>
        <v>0</v>
      </c>
      <c r="M11" s="703">
        <f>huishoudens!L8</f>
        <v>0</v>
      </c>
      <c r="N11" s="703">
        <f>huishoudens!M8</f>
        <v>0</v>
      </c>
      <c r="O11" s="703">
        <f>huishoudens!N8</f>
        <v>8361.0318179113237</v>
      </c>
      <c r="P11" s="703">
        <f>huishoudens!O8</f>
        <v>92.236666666666679</v>
      </c>
      <c r="Q11" s="704">
        <f>huishoudens!P8</f>
        <v>305.06666666666666</v>
      </c>
      <c r="R11" s="706">
        <f>SUM(C11:Q11)</f>
        <v>87460.226305440301</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1090.3809620014144</v>
      </c>
      <c r="D13" s="703">
        <f>industrie!C18</f>
        <v>0</v>
      </c>
      <c r="E13" s="703">
        <f>industrie!D18</f>
        <v>581.54627547398411</v>
      </c>
      <c r="F13" s="703">
        <f>industrie!E18</f>
        <v>8.5329313641381308</v>
      </c>
      <c r="G13" s="703">
        <f>industrie!F18</f>
        <v>462.4038864446095</v>
      </c>
      <c r="H13" s="703">
        <f>industrie!G18</f>
        <v>0</v>
      </c>
      <c r="I13" s="703">
        <f>industrie!H18</f>
        <v>0</v>
      </c>
      <c r="J13" s="703">
        <f>industrie!I18</f>
        <v>0</v>
      </c>
      <c r="K13" s="703">
        <f>industrie!J18</f>
        <v>2.7033110694326541</v>
      </c>
      <c r="L13" s="703">
        <f>industrie!K18</f>
        <v>0</v>
      </c>
      <c r="M13" s="703">
        <f>industrie!L18</f>
        <v>0</v>
      </c>
      <c r="N13" s="703">
        <f>industrie!M18</f>
        <v>0</v>
      </c>
      <c r="O13" s="703">
        <f>industrie!N18</f>
        <v>49.985633036199424</v>
      </c>
      <c r="P13" s="703">
        <f>industrie!O18</f>
        <v>0</v>
      </c>
      <c r="Q13" s="704">
        <f>industrie!P18</f>
        <v>0</v>
      </c>
      <c r="R13" s="706">
        <f>SUM(C13:Q13)</f>
        <v>2195.5529993897785</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34559.488937088965</v>
      </c>
      <c r="D15" s="708">
        <f t="shared" ref="D15:Q15" ca="1" si="0">SUM(D9:D14)</f>
        <v>77.142857142857139</v>
      </c>
      <c r="E15" s="708">
        <f t="shared" ca="1" si="0"/>
        <v>34133.457871223247</v>
      </c>
      <c r="F15" s="708">
        <f t="shared" si="0"/>
        <v>4255.0282185047245</v>
      </c>
      <c r="G15" s="708">
        <f t="shared" ca="1" si="0"/>
        <v>32441.15419289378</v>
      </c>
      <c r="H15" s="708">
        <f t="shared" si="0"/>
        <v>0</v>
      </c>
      <c r="I15" s="708">
        <f t="shared" si="0"/>
        <v>0</v>
      </c>
      <c r="J15" s="708">
        <f t="shared" si="0"/>
        <v>0</v>
      </c>
      <c r="K15" s="708">
        <f t="shared" si="0"/>
        <v>536.0169291529528</v>
      </c>
      <c r="L15" s="708">
        <f t="shared" si="0"/>
        <v>0</v>
      </c>
      <c r="M15" s="708">
        <f t="shared" ca="1" si="0"/>
        <v>0</v>
      </c>
      <c r="N15" s="708">
        <f t="shared" si="0"/>
        <v>0</v>
      </c>
      <c r="O15" s="708">
        <f t="shared" ca="1" si="0"/>
        <v>8411.0174509475237</v>
      </c>
      <c r="P15" s="708">
        <f t="shared" si="0"/>
        <v>92.236666666666679</v>
      </c>
      <c r="Q15" s="709">
        <f t="shared" si="0"/>
        <v>305.06666666666666</v>
      </c>
      <c r="R15" s="710">
        <f ca="1">SUM(R9:R14)</f>
        <v>114810.60979028737</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2475.371040421458</v>
      </c>
      <c r="I18" s="703">
        <f>transport!H54</f>
        <v>0</v>
      </c>
      <c r="J18" s="703">
        <f>transport!I54</f>
        <v>0</v>
      </c>
      <c r="K18" s="703">
        <f>transport!J54</f>
        <v>0</v>
      </c>
      <c r="L18" s="703">
        <f>transport!K54</f>
        <v>0</v>
      </c>
      <c r="M18" s="703">
        <f>transport!L54</f>
        <v>0</v>
      </c>
      <c r="N18" s="703">
        <f>transport!M54</f>
        <v>108.69762576485726</v>
      </c>
      <c r="O18" s="703">
        <f>transport!N54</f>
        <v>0</v>
      </c>
      <c r="P18" s="703">
        <f>transport!O54</f>
        <v>0</v>
      </c>
      <c r="Q18" s="704">
        <f>transport!P54</f>
        <v>0</v>
      </c>
      <c r="R18" s="706">
        <f>SUM(C18:Q18)</f>
        <v>2584.0686661863151</v>
      </c>
      <c r="S18" s="68"/>
    </row>
    <row r="19" spans="1:19" s="458" customFormat="1" ht="15" thickBot="1">
      <c r="A19" s="859" t="s">
        <v>307</v>
      </c>
      <c r="B19" s="864"/>
      <c r="C19" s="712">
        <f>transport!B14</f>
        <v>1.4656046548078103</v>
      </c>
      <c r="D19" s="712">
        <f>transport!C14</f>
        <v>0</v>
      </c>
      <c r="E19" s="712">
        <f>transport!D14</f>
        <v>4.9641182636894232</v>
      </c>
      <c r="F19" s="712">
        <f>transport!E14</f>
        <v>278.92655951957619</v>
      </c>
      <c r="G19" s="712">
        <f>transport!F14</f>
        <v>0</v>
      </c>
      <c r="H19" s="712">
        <f>transport!G14</f>
        <v>45642.136113494838</v>
      </c>
      <c r="I19" s="712">
        <f>transport!H14</f>
        <v>10852.274103373577</v>
      </c>
      <c r="J19" s="712">
        <f>transport!I14</f>
        <v>0</v>
      </c>
      <c r="K19" s="712">
        <f>transport!J14</f>
        <v>0</v>
      </c>
      <c r="L19" s="712">
        <f>transport!K14</f>
        <v>0</v>
      </c>
      <c r="M19" s="712">
        <f>transport!L14</f>
        <v>0</v>
      </c>
      <c r="N19" s="712">
        <f>transport!M14</f>
        <v>2528.8630448441941</v>
      </c>
      <c r="O19" s="712">
        <f>transport!N14</f>
        <v>0</v>
      </c>
      <c r="P19" s="712">
        <f>transport!O14</f>
        <v>0</v>
      </c>
      <c r="Q19" s="713">
        <f>transport!P14</f>
        <v>0</v>
      </c>
      <c r="R19" s="714">
        <f>SUM(C19:Q19)</f>
        <v>59308.629544150674</v>
      </c>
      <c r="S19" s="68"/>
    </row>
    <row r="20" spans="1:19" s="458" customFormat="1" ht="15.75" thickBot="1">
      <c r="A20" s="715" t="s">
        <v>230</v>
      </c>
      <c r="B20" s="867"/>
      <c r="C20" s="862">
        <f>SUM(C17:C19)</f>
        <v>1.4656046548078103</v>
      </c>
      <c r="D20" s="716">
        <f t="shared" ref="D20:R20" si="1">SUM(D17:D19)</f>
        <v>0</v>
      </c>
      <c r="E20" s="716">
        <f t="shared" si="1"/>
        <v>4.9641182636894232</v>
      </c>
      <c r="F20" s="716">
        <f t="shared" si="1"/>
        <v>278.92655951957619</v>
      </c>
      <c r="G20" s="716">
        <f t="shared" si="1"/>
        <v>0</v>
      </c>
      <c r="H20" s="716">
        <f t="shared" si="1"/>
        <v>48117.507153916296</v>
      </c>
      <c r="I20" s="716">
        <f t="shared" si="1"/>
        <v>10852.274103373577</v>
      </c>
      <c r="J20" s="716">
        <f t="shared" si="1"/>
        <v>0</v>
      </c>
      <c r="K20" s="716">
        <f t="shared" si="1"/>
        <v>0</v>
      </c>
      <c r="L20" s="716">
        <f t="shared" si="1"/>
        <v>0</v>
      </c>
      <c r="M20" s="716">
        <f t="shared" si="1"/>
        <v>0</v>
      </c>
      <c r="N20" s="716">
        <f t="shared" si="1"/>
        <v>2637.5606706090512</v>
      </c>
      <c r="O20" s="716">
        <f t="shared" si="1"/>
        <v>0</v>
      </c>
      <c r="P20" s="716">
        <f t="shared" si="1"/>
        <v>0</v>
      </c>
      <c r="Q20" s="717">
        <f t="shared" si="1"/>
        <v>0</v>
      </c>
      <c r="R20" s="718">
        <f t="shared" si="1"/>
        <v>61892.698210336988</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401.15584351066411</v>
      </c>
      <c r="D22" s="712">
        <f>+landbouw!C8</f>
        <v>0</v>
      </c>
      <c r="E22" s="712">
        <f>+landbouw!D8</f>
        <v>702.34524570083192</v>
      </c>
      <c r="F22" s="712">
        <f>+landbouw!E8</f>
        <v>3.7791568291025306</v>
      </c>
      <c r="G22" s="712">
        <f>+landbouw!F8</f>
        <v>1309.1046493076776</v>
      </c>
      <c r="H22" s="712">
        <f>+landbouw!G8</f>
        <v>0</v>
      </c>
      <c r="I22" s="712">
        <f>+landbouw!H8</f>
        <v>0</v>
      </c>
      <c r="J22" s="712">
        <f>+landbouw!I8</f>
        <v>0</v>
      </c>
      <c r="K22" s="712">
        <f>+landbouw!J8</f>
        <v>49.624929063917179</v>
      </c>
      <c r="L22" s="712">
        <f>+landbouw!K8</f>
        <v>0</v>
      </c>
      <c r="M22" s="712">
        <f>+landbouw!L8</f>
        <v>0</v>
      </c>
      <c r="N22" s="712">
        <f>+landbouw!M8</f>
        <v>0</v>
      </c>
      <c r="O22" s="712">
        <f>+landbouw!N8</f>
        <v>0</v>
      </c>
      <c r="P22" s="712">
        <f>+landbouw!O8</f>
        <v>0</v>
      </c>
      <c r="Q22" s="713">
        <f>+landbouw!P8</f>
        <v>0</v>
      </c>
      <c r="R22" s="714">
        <f>SUM(C22:Q22)</f>
        <v>2466.0098244121932</v>
      </c>
      <c r="S22" s="68"/>
    </row>
    <row r="23" spans="1:19" s="458" customFormat="1" ht="17.25" thickTop="1" thickBot="1">
      <c r="A23" s="719" t="s">
        <v>116</v>
      </c>
      <c r="B23" s="853"/>
      <c r="C23" s="720">
        <f ca="1">C20+C15+C22</f>
        <v>34962.110385254433</v>
      </c>
      <c r="D23" s="720">
        <f t="shared" ref="D23:Q23" ca="1" si="2">D20+D15+D22</f>
        <v>77.142857142857139</v>
      </c>
      <c r="E23" s="720">
        <f t="shared" ca="1" si="2"/>
        <v>34840.76723518777</v>
      </c>
      <c r="F23" s="720">
        <f t="shared" si="2"/>
        <v>4537.7339348534033</v>
      </c>
      <c r="G23" s="720">
        <f t="shared" ca="1" si="2"/>
        <v>33750.25884220146</v>
      </c>
      <c r="H23" s="720">
        <f t="shared" si="2"/>
        <v>48117.507153916296</v>
      </c>
      <c r="I23" s="720">
        <f t="shared" si="2"/>
        <v>10852.274103373577</v>
      </c>
      <c r="J23" s="720">
        <f t="shared" si="2"/>
        <v>0</v>
      </c>
      <c r="K23" s="720">
        <f t="shared" si="2"/>
        <v>585.64185821686999</v>
      </c>
      <c r="L23" s="720">
        <f t="shared" si="2"/>
        <v>0</v>
      </c>
      <c r="M23" s="720">
        <f t="shared" ca="1" si="2"/>
        <v>0</v>
      </c>
      <c r="N23" s="720">
        <f t="shared" si="2"/>
        <v>2637.5606706090512</v>
      </c>
      <c r="O23" s="720">
        <f t="shared" ca="1" si="2"/>
        <v>8411.0174509475237</v>
      </c>
      <c r="P23" s="720">
        <f t="shared" si="2"/>
        <v>92.236666666666679</v>
      </c>
      <c r="Q23" s="721">
        <f t="shared" si="2"/>
        <v>305.06666666666666</v>
      </c>
      <c r="R23" s="722">
        <f ca="1">R20+R15+R22</f>
        <v>179169.31782503656</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2650.6023214446063</v>
      </c>
      <c r="D36" s="703">
        <f ca="1">tertiair!C20</f>
        <v>18.332773109243703</v>
      </c>
      <c r="E36" s="703">
        <f ca="1">tertiair!D20</f>
        <v>1626.0838109020788</v>
      </c>
      <c r="F36" s="703">
        <f>tertiair!E20</f>
        <v>16.778269412672881</v>
      </c>
      <c r="G36" s="703">
        <f ca="1">tertiair!F20</f>
        <v>595.08177517441356</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4906.8789500430148</v>
      </c>
    </row>
    <row r="37" spans="1:18">
      <c r="A37" s="874" t="s">
        <v>225</v>
      </c>
      <c r="B37" s="881"/>
      <c r="C37" s="703">
        <f ca="1">huishoudens!B12</f>
        <v>3374.0353179212325</v>
      </c>
      <c r="D37" s="703">
        <f ca="1">huishoudens!C12</f>
        <v>0</v>
      </c>
      <c r="E37" s="703">
        <f>huishoudens!D12</f>
        <v>5151.4023314392716</v>
      </c>
      <c r="F37" s="703">
        <f>huishoudens!E12</f>
        <v>947.17616076824038</v>
      </c>
      <c r="G37" s="703">
        <f>huishoudens!F12</f>
        <v>7943.2445566475162</v>
      </c>
      <c r="H37" s="703">
        <f>huishoudens!G12</f>
        <v>0</v>
      </c>
      <c r="I37" s="703">
        <f>huishoudens!H12</f>
        <v>0</v>
      </c>
      <c r="J37" s="703">
        <f>huishoudens!I12</f>
        <v>0</v>
      </c>
      <c r="K37" s="703">
        <f>huishoudens!J12</f>
        <v>188.79302080156614</v>
      </c>
      <c r="L37" s="703">
        <f>huishoudens!K12</f>
        <v>0</v>
      </c>
      <c r="M37" s="703">
        <f>huishoudens!L12</f>
        <v>0</v>
      </c>
      <c r="N37" s="703">
        <f>huishoudens!M12</f>
        <v>0</v>
      </c>
      <c r="O37" s="703">
        <f>huishoudens!N12</f>
        <v>0</v>
      </c>
      <c r="P37" s="703">
        <f>huishoudens!O12</f>
        <v>0</v>
      </c>
      <c r="Q37" s="813">
        <f>huishoudens!P12</f>
        <v>0</v>
      </c>
      <c r="R37" s="906">
        <f ca="1">SUM(C37:Q37)</f>
        <v>17604.651387577829</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196.27503038955641</v>
      </c>
      <c r="D39" s="703">
        <f ca="1">industrie!C22</f>
        <v>0</v>
      </c>
      <c r="E39" s="703">
        <f>industrie!D22</f>
        <v>117.4723476457448</v>
      </c>
      <c r="F39" s="703">
        <f>industrie!E22</f>
        <v>1.9369754196593558</v>
      </c>
      <c r="G39" s="703">
        <f>industrie!F22</f>
        <v>123.46183768071074</v>
      </c>
      <c r="H39" s="703">
        <f>industrie!G22</f>
        <v>0</v>
      </c>
      <c r="I39" s="703">
        <f>industrie!H22</f>
        <v>0</v>
      </c>
      <c r="J39" s="703">
        <f>industrie!I22</f>
        <v>0</v>
      </c>
      <c r="K39" s="703">
        <f>industrie!J22</f>
        <v>0.95697211857915954</v>
      </c>
      <c r="L39" s="703">
        <f>industrie!K22</f>
        <v>0</v>
      </c>
      <c r="M39" s="703">
        <f>industrie!L22</f>
        <v>0</v>
      </c>
      <c r="N39" s="703">
        <f>industrie!M22</f>
        <v>0</v>
      </c>
      <c r="O39" s="703">
        <f>industrie!N22</f>
        <v>0</v>
      </c>
      <c r="P39" s="703">
        <f>industrie!O22</f>
        <v>0</v>
      </c>
      <c r="Q39" s="813">
        <f>industrie!P22</f>
        <v>0</v>
      </c>
      <c r="R39" s="907">
        <f ca="1">SUM(C39:Q39)</f>
        <v>440.10316325425049</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6220.9126697553957</v>
      </c>
      <c r="D41" s="748">
        <f t="shared" ref="D41:R41" ca="1" si="4">SUM(D35:D40)</f>
        <v>18.332773109243703</v>
      </c>
      <c r="E41" s="748">
        <f t="shared" ca="1" si="4"/>
        <v>6894.9584899870952</v>
      </c>
      <c r="F41" s="748">
        <f t="shared" si="4"/>
        <v>965.89140560057263</v>
      </c>
      <c r="G41" s="748">
        <f t="shared" ca="1" si="4"/>
        <v>8661.7881695026408</v>
      </c>
      <c r="H41" s="748">
        <f t="shared" si="4"/>
        <v>0</v>
      </c>
      <c r="I41" s="748">
        <f t="shared" si="4"/>
        <v>0</v>
      </c>
      <c r="J41" s="748">
        <f t="shared" si="4"/>
        <v>0</v>
      </c>
      <c r="K41" s="748">
        <f t="shared" si="4"/>
        <v>189.7499929201453</v>
      </c>
      <c r="L41" s="748">
        <f t="shared" si="4"/>
        <v>0</v>
      </c>
      <c r="M41" s="748">
        <f t="shared" ca="1" si="4"/>
        <v>0</v>
      </c>
      <c r="N41" s="748">
        <f t="shared" si="4"/>
        <v>0</v>
      </c>
      <c r="O41" s="748">
        <f t="shared" ca="1" si="4"/>
        <v>0</v>
      </c>
      <c r="P41" s="748">
        <f t="shared" si="4"/>
        <v>0</v>
      </c>
      <c r="Q41" s="749">
        <f t="shared" si="4"/>
        <v>0</v>
      </c>
      <c r="R41" s="750">
        <f t="shared" ca="1" si="4"/>
        <v>22951.633500875094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660.92406779252929</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660.92406779252929</v>
      </c>
    </row>
    <row r="45" spans="1:18" ht="15" thickBot="1">
      <c r="A45" s="877" t="s">
        <v>307</v>
      </c>
      <c r="B45" s="887"/>
      <c r="C45" s="712">
        <f ca="1">transport!B18</f>
        <v>0.2638175171670919</v>
      </c>
      <c r="D45" s="712">
        <f>transport!C18</f>
        <v>0</v>
      </c>
      <c r="E45" s="712">
        <f>transport!D18</f>
        <v>1.0027518892652636</v>
      </c>
      <c r="F45" s="712">
        <f>transport!E18</f>
        <v>63.316329010943797</v>
      </c>
      <c r="G45" s="712">
        <f>transport!F18</f>
        <v>0</v>
      </c>
      <c r="H45" s="712">
        <f>transport!G18</f>
        <v>12186.450342303122</v>
      </c>
      <c r="I45" s="712">
        <f>transport!H18</f>
        <v>2702.2162517400207</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14953.24949246052</v>
      </c>
    </row>
    <row r="46" spans="1:18" ht="15.75" thickBot="1">
      <c r="A46" s="875" t="s">
        <v>230</v>
      </c>
      <c r="B46" s="888"/>
      <c r="C46" s="748">
        <f t="shared" ref="C46:R46" ca="1" si="5">SUM(C43:C45)</f>
        <v>0.2638175171670919</v>
      </c>
      <c r="D46" s="748">
        <f t="shared" ca="1" si="5"/>
        <v>0</v>
      </c>
      <c r="E46" s="748">
        <f t="shared" si="5"/>
        <v>1.0027518892652636</v>
      </c>
      <c r="F46" s="748">
        <f t="shared" si="5"/>
        <v>63.316329010943797</v>
      </c>
      <c r="G46" s="748">
        <f t="shared" si="5"/>
        <v>0</v>
      </c>
      <c r="H46" s="748">
        <f t="shared" si="5"/>
        <v>12847.374410095652</v>
      </c>
      <c r="I46" s="748">
        <f t="shared" si="5"/>
        <v>2702.2162517400207</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15614.17356025305</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72.210427474339554</v>
      </c>
      <c r="D48" s="703">
        <f ca="1">+landbouw!C12</f>
        <v>0</v>
      </c>
      <c r="E48" s="703">
        <f>+landbouw!D12</f>
        <v>141.87373963156807</v>
      </c>
      <c r="F48" s="703">
        <f>+landbouw!E12</f>
        <v>0.85786860020627442</v>
      </c>
      <c r="G48" s="703">
        <f>+landbouw!F12</f>
        <v>349.53094136514994</v>
      </c>
      <c r="H48" s="703">
        <f>+landbouw!G12</f>
        <v>0</v>
      </c>
      <c r="I48" s="703">
        <f>+landbouw!H12</f>
        <v>0</v>
      </c>
      <c r="J48" s="703">
        <f>+landbouw!I12</f>
        <v>0</v>
      </c>
      <c r="K48" s="703">
        <f>+landbouw!J12</f>
        <v>17.567224888626679</v>
      </c>
      <c r="L48" s="703">
        <f>+landbouw!K12</f>
        <v>0</v>
      </c>
      <c r="M48" s="703">
        <f>+landbouw!L12</f>
        <v>0</v>
      </c>
      <c r="N48" s="703">
        <f>+landbouw!M12</f>
        <v>0</v>
      </c>
      <c r="O48" s="703">
        <f>+landbouw!N12</f>
        <v>0</v>
      </c>
      <c r="P48" s="703">
        <f>+landbouw!O12</f>
        <v>0</v>
      </c>
      <c r="Q48" s="704">
        <f>+landbouw!P12</f>
        <v>0</v>
      </c>
      <c r="R48" s="746">
        <f ca="1">SUM(C48:Q48)</f>
        <v>582.04020195989051</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6293.3869147469022</v>
      </c>
      <c r="D53" s="758">
        <f t="shared" ref="D53:Q53" ca="1" si="6">D41+D46+D48</f>
        <v>18.332773109243703</v>
      </c>
      <c r="E53" s="758">
        <f t="shared" ca="1" si="6"/>
        <v>7037.8349815079291</v>
      </c>
      <c r="F53" s="758">
        <f t="shared" si="6"/>
        <v>1030.0656032117226</v>
      </c>
      <c r="G53" s="758">
        <f t="shared" ca="1" si="6"/>
        <v>9011.3191108677911</v>
      </c>
      <c r="H53" s="758">
        <f t="shared" si="6"/>
        <v>12847.374410095652</v>
      </c>
      <c r="I53" s="758">
        <f t="shared" si="6"/>
        <v>2702.2162517400207</v>
      </c>
      <c r="J53" s="758">
        <f t="shared" si="6"/>
        <v>0</v>
      </c>
      <c r="K53" s="758">
        <f t="shared" si="6"/>
        <v>207.31721780877197</v>
      </c>
      <c r="L53" s="758">
        <f t="shared" si="6"/>
        <v>0</v>
      </c>
      <c r="M53" s="758">
        <f t="shared" ca="1" si="6"/>
        <v>0</v>
      </c>
      <c r="N53" s="758">
        <f t="shared" si="6"/>
        <v>0</v>
      </c>
      <c r="O53" s="758">
        <f t="shared" ca="1" si="6"/>
        <v>0</v>
      </c>
      <c r="P53" s="758">
        <f>P41+P46+P48</f>
        <v>0</v>
      </c>
      <c r="Q53" s="759">
        <f t="shared" si="6"/>
        <v>0</v>
      </c>
      <c r="R53" s="760">
        <f ca="1">R41+R46+R48</f>
        <v>39147.847263088035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0.1800059219938048</v>
      </c>
      <c r="D55" s="824">
        <f t="shared" ca="1" si="7"/>
        <v>0.23764705882352949</v>
      </c>
      <c r="E55" s="824">
        <f t="shared" ca="1" si="7"/>
        <v>0.20199999999999999</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1624.8141247547442</v>
      </c>
      <c r="C66" s="780">
        <f>'lokale energieproductie'!B6</f>
        <v>1624.8141247547442</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54</v>
      </c>
      <c r="C67" s="779">
        <f>B67*IFERROR(SUM(J67:L67)/SUM(D67:M67),0)</f>
        <v>0</v>
      </c>
      <c r="D67" s="811">
        <f>'lokale energieproductie'!C7</f>
        <v>63.529411764705898</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12.832941176470593</v>
      </c>
      <c r="P67" s="911">
        <v>0</v>
      </c>
      <c r="Q67" s="770"/>
      <c r="R67" s="727"/>
    </row>
    <row r="68" spans="1:18" ht="30.75" thickBot="1">
      <c r="A68" s="786" t="s">
        <v>353</v>
      </c>
      <c r="B68" s="779">
        <f>'lokale energieproductie'!B8</f>
        <v>4864.5</v>
      </c>
      <c r="C68" s="779">
        <f>B68*IFERROR(SUM(J68:L68)/SUM(D68:M68),0)</f>
        <v>4864.5</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13898.571428571429</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6543.3141247547446</v>
      </c>
      <c r="C69" s="788">
        <f>SUM(C64:C68)</f>
        <v>6489.3141247547446</v>
      </c>
      <c r="D69" s="789">
        <f t="shared" ref="D69:M69" si="8">SUM(D67:D68)</f>
        <v>63.529411764705898</v>
      </c>
      <c r="E69" s="789">
        <f t="shared" si="8"/>
        <v>0</v>
      </c>
      <c r="F69" s="789">
        <f t="shared" si="8"/>
        <v>0</v>
      </c>
      <c r="G69" s="789">
        <f t="shared" si="8"/>
        <v>0</v>
      </c>
      <c r="H69" s="789">
        <f t="shared" si="8"/>
        <v>0</v>
      </c>
      <c r="I69" s="789">
        <f t="shared" si="8"/>
        <v>0</v>
      </c>
      <c r="J69" s="789">
        <f t="shared" si="8"/>
        <v>0</v>
      </c>
      <c r="K69" s="789">
        <f t="shared" si="8"/>
        <v>13898.571428571429</v>
      </c>
      <c r="L69" s="789">
        <f t="shared" si="8"/>
        <v>0</v>
      </c>
      <c r="M69" s="919">
        <f t="shared" si="8"/>
        <v>0</v>
      </c>
      <c r="N69" s="790">
        <v>0</v>
      </c>
      <c r="O69" s="790">
        <f>SUM(O67:O68)</f>
        <v>12.832941176470593</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77.142857142857139</v>
      </c>
      <c r="C78" s="802">
        <f>B78*IFERROR(SUM(I78:L78)/SUM(D78:M78),0)</f>
        <v>0</v>
      </c>
      <c r="D78" s="817">
        <f>'lokale energieproductie'!C16</f>
        <v>90.756302521008422</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18.332773109243703</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77.142857142857139</v>
      </c>
      <c r="C81" s="788">
        <f>SUM(C78:C80)</f>
        <v>0</v>
      </c>
      <c r="D81" s="788">
        <f t="shared" ref="D81:P81" si="9">SUM(D78:D80)</f>
        <v>90.756302521008422</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18.332773109243703</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18744.023977374232</v>
      </c>
      <c r="C4" s="462">
        <f>huishoudens!C8</f>
        <v>0</v>
      </c>
      <c r="D4" s="462">
        <f>huishoudens!D8</f>
        <v>25501.991739798374</v>
      </c>
      <c r="E4" s="462">
        <f>huishoudens!E8</f>
        <v>4172.5822060274904</v>
      </c>
      <c r="F4" s="462">
        <f>huishoudens!F8</f>
        <v>29749.979612912044</v>
      </c>
      <c r="G4" s="462">
        <f>huishoudens!G8</f>
        <v>0</v>
      </c>
      <c r="H4" s="462">
        <f>huishoudens!H8</f>
        <v>0</v>
      </c>
      <c r="I4" s="462">
        <f>huishoudens!I8</f>
        <v>0</v>
      </c>
      <c r="J4" s="462">
        <f>huishoudens!J8</f>
        <v>533.31361808352017</v>
      </c>
      <c r="K4" s="462">
        <f>huishoudens!K8</f>
        <v>0</v>
      </c>
      <c r="L4" s="462">
        <f>huishoudens!L8</f>
        <v>0</v>
      </c>
      <c r="M4" s="462">
        <f>huishoudens!M8</f>
        <v>0</v>
      </c>
      <c r="N4" s="462">
        <f>huishoudens!N8</f>
        <v>8361.0318179113237</v>
      </c>
      <c r="O4" s="462">
        <f>huishoudens!O8</f>
        <v>92.236666666666679</v>
      </c>
      <c r="P4" s="463">
        <f>huishoudens!P8</f>
        <v>305.06666666666666</v>
      </c>
      <c r="Q4" s="464">
        <f>SUM(B4:P4)</f>
        <v>87460.226305440301</v>
      </c>
    </row>
    <row r="5" spans="1:17">
      <c r="A5" s="461" t="s">
        <v>156</v>
      </c>
      <c r="B5" s="462">
        <f ca="1">tertiair!B16</f>
        <v>13986.936997713317</v>
      </c>
      <c r="C5" s="462">
        <f ca="1">tertiair!C16</f>
        <v>77.142857142857139</v>
      </c>
      <c r="D5" s="462">
        <f ca="1">tertiair!D16</f>
        <v>8049.919855950885</v>
      </c>
      <c r="E5" s="462">
        <f>tertiair!E16</f>
        <v>73.913081113096382</v>
      </c>
      <c r="F5" s="462">
        <f ca="1">tertiair!F16</f>
        <v>2228.7706935371293</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0</v>
      </c>
      <c r="P5" s="463">
        <f>tertiair!P16</f>
        <v>0</v>
      </c>
      <c r="Q5" s="461">
        <f t="shared" ref="Q5:Q13" ca="1" si="0">SUM(B5:P5)</f>
        <v>24416.683485457284</v>
      </c>
    </row>
    <row r="6" spans="1:17">
      <c r="A6" s="461" t="s">
        <v>194</v>
      </c>
      <c r="B6" s="462">
        <f>'openbare verlichting'!B8</f>
        <v>738.14700000000005</v>
      </c>
      <c r="C6" s="462"/>
      <c r="D6" s="462"/>
      <c r="E6" s="462"/>
      <c r="F6" s="462"/>
      <c r="G6" s="462"/>
      <c r="H6" s="462"/>
      <c r="I6" s="462"/>
      <c r="J6" s="462"/>
      <c r="K6" s="462"/>
      <c r="L6" s="462"/>
      <c r="M6" s="462"/>
      <c r="N6" s="462"/>
      <c r="O6" s="462"/>
      <c r="P6" s="463"/>
      <c r="Q6" s="461">
        <f t="shared" si="0"/>
        <v>738.14700000000005</v>
      </c>
    </row>
    <row r="7" spans="1:17">
      <c r="A7" s="461" t="s">
        <v>112</v>
      </c>
      <c r="B7" s="462">
        <f>landbouw!B8</f>
        <v>401.15584351066411</v>
      </c>
      <c r="C7" s="462">
        <f>landbouw!C8</f>
        <v>0</v>
      </c>
      <c r="D7" s="462">
        <f>landbouw!D8</f>
        <v>702.34524570083192</v>
      </c>
      <c r="E7" s="462">
        <f>landbouw!E8</f>
        <v>3.7791568291025306</v>
      </c>
      <c r="F7" s="462">
        <f>landbouw!F8</f>
        <v>1309.1046493076776</v>
      </c>
      <c r="G7" s="462">
        <f>landbouw!G8</f>
        <v>0</v>
      </c>
      <c r="H7" s="462">
        <f>landbouw!H8</f>
        <v>0</v>
      </c>
      <c r="I7" s="462">
        <f>landbouw!I8</f>
        <v>0</v>
      </c>
      <c r="J7" s="462">
        <f>landbouw!J8</f>
        <v>49.624929063917179</v>
      </c>
      <c r="K7" s="462">
        <f>landbouw!K8</f>
        <v>0</v>
      </c>
      <c r="L7" s="462">
        <f>landbouw!L8</f>
        <v>0</v>
      </c>
      <c r="M7" s="462">
        <f>landbouw!M8</f>
        <v>0</v>
      </c>
      <c r="N7" s="462">
        <f>landbouw!N8</f>
        <v>0</v>
      </c>
      <c r="O7" s="462">
        <f>landbouw!O8</f>
        <v>0</v>
      </c>
      <c r="P7" s="463">
        <f>landbouw!P8</f>
        <v>0</v>
      </c>
      <c r="Q7" s="461">
        <f t="shared" si="0"/>
        <v>2466.0098244121932</v>
      </c>
    </row>
    <row r="8" spans="1:17">
      <c r="A8" s="461" t="s">
        <v>685</v>
      </c>
      <c r="B8" s="462">
        <f>industrie!B18</f>
        <v>1090.3809620014144</v>
      </c>
      <c r="C8" s="462">
        <f>industrie!C18</f>
        <v>0</v>
      </c>
      <c r="D8" s="462">
        <f>industrie!D18</f>
        <v>581.54627547398411</v>
      </c>
      <c r="E8" s="462">
        <f>industrie!E18</f>
        <v>8.5329313641381308</v>
      </c>
      <c r="F8" s="462">
        <f>industrie!F18</f>
        <v>462.4038864446095</v>
      </c>
      <c r="G8" s="462">
        <f>industrie!G18</f>
        <v>0</v>
      </c>
      <c r="H8" s="462">
        <f>industrie!H18</f>
        <v>0</v>
      </c>
      <c r="I8" s="462">
        <f>industrie!I18</f>
        <v>0</v>
      </c>
      <c r="J8" s="462">
        <f>industrie!J18</f>
        <v>2.7033110694326541</v>
      </c>
      <c r="K8" s="462">
        <f>industrie!K18</f>
        <v>0</v>
      </c>
      <c r="L8" s="462">
        <f>industrie!L18</f>
        <v>0</v>
      </c>
      <c r="M8" s="462">
        <f>industrie!M18</f>
        <v>0</v>
      </c>
      <c r="N8" s="462">
        <f>industrie!N18</f>
        <v>49.985633036199424</v>
      </c>
      <c r="O8" s="462">
        <f>industrie!O18</f>
        <v>0</v>
      </c>
      <c r="P8" s="463">
        <f>industrie!P18</f>
        <v>0</v>
      </c>
      <c r="Q8" s="461">
        <f t="shared" si="0"/>
        <v>2195.5529993897785</v>
      </c>
    </row>
    <row r="9" spans="1:17" s="467" customFormat="1">
      <c r="A9" s="465" t="s">
        <v>579</v>
      </c>
      <c r="B9" s="466">
        <f>transport!B14</f>
        <v>1.4656046548078103</v>
      </c>
      <c r="C9" s="466">
        <f>transport!C14</f>
        <v>0</v>
      </c>
      <c r="D9" s="466">
        <f>transport!D14</f>
        <v>4.9641182636894232</v>
      </c>
      <c r="E9" s="466">
        <f>transport!E14</f>
        <v>278.92655951957619</v>
      </c>
      <c r="F9" s="466">
        <f>transport!F14</f>
        <v>0</v>
      </c>
      <c r="G9" s="466">
        <f>transport!G14</f>
        <v>45642.136113494838</v>
      </c>
      <c r="H9" s="466">
        <f>transport!H14</f>
        <v>10852.274103373577</v>
      </c>
      <c r="I9" s="466">
        <f>transport!I14</f>
        <v>0</v>
      </c>
      <c r="J9" s="466">
        <f>transport!J14</f>
        <v>0</v>
      </c>
      <c r="K9" s="466">
        <f>transport!K14</f>
        <v>0</v>
      </c>
      <c r="L9" s="466">
        <f>transport!L14</f>
        <v>0</v>
      </c>
      <c r="M9" s="466">
        <f>transport!M14</f>
        <v>2528.8630448441941</v>
      </c>
      <c r="N9" s="466">
        <f>transport!N14</f>
        <v>0</v>
      </c>
      <c r="O9" s="466">
        <f>transport!O14</f>
        <v>0</v>
      </c>
      <c r="P9" s="466">
        <f>transport!P14</f>
        <v>0</v>
      </c>
      <c r="Q9" s="465">
        <f>SUM(B9:P9)</f>
        <v>59308.629544150674</v>
      </c>
    </row>
    <row r="10" spans="1:17">
      <c r="A10" s="461" t="s">
        <v>569</v>
      </c>
      <c r="B10" s="462">
        <f>transport!B54</f>
        <v>0</v>
      </c>
      <c r="C10" s="462">
        <f>transport!C54</f>
        <v>0</v>
      </c>
      <c r="D10" s="462">
        <f>transport!D54</f>
        <v>0</v>
      </c>
      <c r="E10" s="462">
        <f>transport!E54</f>
        <v>0</v>
      </c>
      <c r="F10" s="462">
        <f>transport!F54</f>
        <v>0</v>
      </c>
      <c r="G10" s="462">
        <f>transport!G54</f>
        <v>2475.371040421458</v>
      </c>
      <c r="H10" s="462">
        <f>transport!H54</f>
        <v>0</v>
      </c>
      <c r="I10" s="462">
        <f>transport!I54</f>
        <v>0</v>
      </c>
      <c r="J10" s="462">
        <f>transport!J54</f>
        <v>0</v>
      </c>
      <c r="K10" s="462">
        <f>transport!K54</f>
        <v>0</v>
      </c>
      <c r="L10" s="462">
        <f>transport!L54</f>
        <v>0</v>
      </c>
      <c r="M10" s="462">
        <f>transport!M54</f>
        <v>108.69762576485726</v>
      </c>
      <c r="N10" s="462">
        <f>transport!N54</f>
        <v>0</v>
      </c>
      <c r="O10" s="462">
        <f>transport!O54</f>
        <v>0</v>
      </c>
      <c r="P10" s="463">
        <f>transport!P54</f>
        <v>0</v>
      </c>
      <c r="Q10" s="461">
        <f t="shared" si="0"/>
        <v>2584.0686661863151</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34962.110385254433</v>
      </c>
      <c r="C14" s="472">
        <f t="shared" ref="C14:Q14" ca="1" si="1">SUM(C4:C13)</f>
        <v>77.142857142857139</v>
      </c>
      <c r="D14" s="472">
        <f t="shared" ca="1" si="1"/>
        <v>34840.76723518777</v>
      </c>
      <c r="E14" s="472">
        <f t="shared" si="1"/>
        <v>4537.7339348534033</v>
      </c>
      <c r="F14" s="472">
        <f t="shared" ca="1" si="1"/>
        <v>33750.25884220146</v>
      </c>
      <c r="G14" s="472">
        <f t="shared" si="1"/>
        <v>48117.507153916296</v>
      </c>
      <c r="H14" s="472">
        <f t="shared" si="1"/>
        <v>10852.274103373577</v>
      </c>
      <c r="I14" s="472">
        <f t="shared" si="1"/>
        <v>0</v>
      </c>
      <c r="J14" s="472">
        <f t="shared" si="1"/>
        <v>585.64185821686999</v>
      </c>
      <c r="K14" s="472">
        <f t="shared" si="1"/>
        <v>0</v>
      </c>
      <c r="L14" s="472">
        <f t="shared" ca="1" si="1"/>
        <v>0</v>
      </c>
      <c r="M14" s="472">
        <f t="shared" si="1"/>
        <v>2637.5606706090512</v>
      </c>
      <c r="N14" s="472">
        <f t="shared" ca="1" si="1"/>
        <v>8411.0174509475237</v>
      </c>
      <c r="O14" s="472">
        <f t="shared" si="1"/>
        <v>92.236666666666679</v>
      </c>
      <c r="P14" s="473">
        <f t="shared" si="1"/>
        <v>305.06666666666666</v>
      </c>
      <c r="Q14" s="473">
        <f t="shared" ca="1" si="1"/>
        <v>179169.31782503656</v>
      </c>
    </row>
    <row r="16" spans="1:17">
      <c r="A16" s="475" t="s">
        <v>574</v>
      </c>
      <c r="B16" s="829">
        <f ca="1">huishoudens!B10</f>
        <v>0.18000592199380477</v>
      </c>
      <c r="C16" s="829">
        <f ca="1">huishoudens!C10</f>
        <v>0.23764705882352949</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3374.0353179212325</v>
      </c>
      <c r="C21" s="462">
        <f t="shared" ref="C21:C30" ca="1" si="3">C4*$C$16</f>
        <v>0</v>
      </c>
      <c r="D21" s="462">
        <f t="shared" ref="D21:D30" si="4">D4*$D$16</f>
        <v>5151.4023314392716</v>
      </c>
      <c r="E21" s="462">
        <f t="shared" ref="E21:E30" si="5">E4*$E$16</f>
        <v>947.17616076824038</v>
      </c>
      <c r="F21" s="462">
        <f t="shared" ref="F21:F30" si="6">F4*$F$16</f>
        <v>7943.2445566475162</v>
      </c>
      <c r="G21" s="462">
        <f t="shared" ref="G21:G30" si="7">G4*$G$16</f>
        <v>0</v>
      </c>
      <c r="H21" s="462">
        <f t="shared" ref="H21:H30" si="8">H4*$H$16</f>
        <v>0</v>
      </c>
      <c r="I21" s="462">
        <f t="shared" ref="I21:I30" si="9">I4*$I$16</f>
        <v>0</v>
      </c>
      <c r="J21" s="462">
        <f t="shared" ref="J21:J30" si="10">J4*$J$16</f>
        <v>188.79302080156614</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17604.651387577829</v>
      </c>
    </row>
    <row r="22" spans="1:17">
      <c r="A22" s="461" t="s">
        <v>156</v>
      </c>
      <c r="B22" s="462">
        <f t="shared" ca="1" si="2"/>
        <v>2517.7314901426453</v>
      </c>
      <c r="C22" s="462">
        <f t="shared" ca="1" si="3"/>
        <v>18.332773109243703</v>
      </c>
      <c r="D22" s="462">
        <f t="shared" ca="1" si="4"/>
        <v>1626.0838109020788</v>
      </c>
      <c r="E22" s="462">
        <f t="shared" si="5"/>
        <v>16.778269412672881</v>
      </c>
      <c r="F22" s="462">
        <f t="shared" ca="1" si="6"/>
        <v>595.08177517441356</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4774.0081187410533</v>
      </c>
    </row>
    <row r="23" spans="1:17">
      <c r="A23" s="461" t="s">
        <v>194</v>
      </c>
      <c r="B23" s="462">
        <f t="shared" ca="1" si="2"/>
        <v>132.87083130196103</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132.87083130196103</v>
      </c>
    </row>
    <row r="24" spans="1:17">
      <c r="A24" s="461" t="s">
        <v>112</v>
      </c>
      <c r="B24" s="462">
        <f t="shared" ca="1" si="2"/>
        <v>72.210427474339554</v>
      </c>
      <c r="C24" s="462">
        <f t="shared" ca="1" si="3"/>
        <v>0</v>
      </c>
      <c r="D24" s="462">
        <f t="shared" si="4"/>
        <v>141.87373963156807</v>
      </c>
      <c r="E24" s="462">
        <f t="shared" si="5"/>
        <v>0.85786860020627442</v>
      </c>
      <c r="F24" s="462">
        <f t="shared" si="6"/>
        <v>349.53094136514994</v>
      </c>
      <c r="G24" s="462">
        <f t="shared" si="7"/>
        <v>0</v>
      </c>
      <c r="H24" s="462">
        <f t="shared" si="8"/>
        <v>0</v>
      </c>
      <c r="I24" s="462">
        <f t="shared" si="9"/>
        <v>0</v>
      </c>
      <c r="J24" s="462">
        <f t="shared" si="10"/>
        <v>17.567224888626679</v>
      </c>
      <c r="K24" s="462">
        <f t="shared" si="11"/>
        <v>0</v>
      </c>
      <c r="L24" s="462">
        <f t="shared" si="12"/>
        <v>0</v>
      </c>
      <c r="M24" s="462">
        <f t="shared" si="13"/>
        <v>0</v>
      </c>
      <c r="N24" s="462">
        <f t="shared" si="14"/>
        <v>0</v>
      </c>
      <c r="O24" s="462">
        <f t="shared" si="15"/>
        <v>0</v>
      </c>
      <c r="P24" s="463">
        <f t="shared" si="16"/>
        <v>0</v>
      </c>
      <c r="Q24" s="461">
        <f t="shared" ca="1" si="17"/>
        <v>582.04020195989051</v>
      </c>
    </row>
    <row r="25" spans="1:17">
      <c r="A25" s="461" t="s">
        <v>685</v>
      </c>
      <c r="B25" s="462">
        <f t="shared" ca="1" si="2"/>
        <v>196.27503038955641</v>
      </c>
      <c r="C25" s="462">
        <f t="shared" ca="1" si="3"/>
        <v>0</v>
      </c>
      <c r="D25" s="462">
        <f t="shared" si="4"/>
        <v>117.4723476457448</v>
      </c>
      <c r="E25" s="462">
        <f t="shared" si="5"/>
        <v>1.9369754196593558</v>
      </c>
      <c r="F25" s="462">
        <f t="shared" si="6"/>
        <v>123.46183768071074</v>
      </c>
      <c r="G25" s="462">
        <f t="shared" si="7"/>
        <v>0</v>
      </c>
      <c r="H25" s="462">
        <f t="shared" si="8"/>
        <v>0</v>
      </c>
      <c r="I25" s="462">
        <f t="shared" si="9"/>
        <v>0</v>
      </c>
      <c r="J25" s="462">
        <f t="shared" si="10"/>
        <v>0.95697211857915954</v>
      </c>
      <c r="K25" s="462">
        <f t="shared" si="11"/>
        <v>0</v>
      </c>
      <c r="L25" s="462">
        <f t="shared" si="12"/>
        <v>0</v>
      </c>
      <c r="M25" s="462">
        <f t="shared" si="13"/>
        <v>0</v>
      </c>
      <c r="N25" s="462">
        <f t="shared" si="14"/>
        <v>0</v>
      </c>
      <c r="O25" s="462">
        <f t="shared" si="15"/>
        <v>0</v>
      </c>
      <c r="P25" s="463">
        <f t="shared" si="16"/>
        <v>0</v>
      </c>
      <c r="Q25" s="461">
        <f t="shared" ca="1" si="17"/>
        <v>440.10316325425049</v>
      </c>
    </row>
    <row r="26" spans="1:17" s="467" customFormat="1">
      <c r="A26" s="465" t="s">
        <v>579</v>
      </c>
      <c r="B26" s="823">
        <f t="shared" ca="1" si="2"/>
        <v>0.2638175171670919</v>
      </c>
      <c r="C26" s="466">
        <f t="shared" ca="1" si="3"/>
        <v>0</v>
      </c>
      <c r="D26" s="466">
        <f t="shared" si="4"/>
        <v>1.0027518892652636</v>
      </c>
      <c r="E26" s="466">
        <f t="shared" si="5"/>
        <v>63.316329010943797</v>
      </c>
      <c r="F26" s="466">
        <f t="shared" si="6"/>
        <v>0</v>
      </c>
      <c r="G26" s="466">
        <f t="shared" si="7"/>
        <v>12186.450342303122</v>
      </c>
      <c r="H26" s="466">
        <f t="shared" si="8"/>
        <v>2702.2162517400207</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14953.24949246052</v>
      </c>
    </row>
    <row r="27" spans="1:17">
      <c r="A27" s="461" t="s">
        <v>569</v>
      </c>
      <c r="B27" s="462">
        <f t="shared" ca="1" si="2"/>
        <v>0</v>
      </c>
      <c r="C27" s="462">
        <f t="shared" ca="1" si="3"/>
        <v>0</v>
      </c>
      <c r="D27" s="462">
        <f t="shared" si="4"/>
        <v>0</v>
      </c>
      <c r="E27" s="462">
        <f t="shared" si="5"/>
        <v>0</v>
      </c>
      <c r="F27" s="462">
        <f t="shared" si="6"/>
        <v>0</v>
      </c>
      <c r="G27" s="462">
        <f t="shared" si="7"/>
        <v>660.92406779252929</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660.92406779252929</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6293.3869147469013</v>
      </c>
      <c r="C31" s="472">
        <f t="shared" ca="1" si="18"/>
        <v>18.332773109243703</v>
      </c>
      <c r="D31" s="472">
        <f t="shared" ca="1" si="18"/>
        <v>7037.8349815079291</v>
      </c>
      <c r="E31" s="472">
        <f t="shared" si="18"/>
        <v>1030.0656032117226</v>
      </c>
      <c r="F31" s="472">
        <f t="shared" ca="1" si="18"/>
        <v>9011.3191108677911</v>
      </c>
      <c r="G31" s="472">
        <f t="shared" si="18"/>
        <v>12847.374410095652</v>
      </c>
      <c r="H31" s="472">
        <f t="shared" si="18"/>
        <v>2702.2162517400207</v>
      </c>
      <c r="I31" s="472">
        <f t="shared" si="18"/>
        <v>0</v>
      </c>
      <c r="J31" s="472">
        <f t="shared" si="18"/>
        <v>207.31721780877197</v>
      </c>
      <c r="K31" s="472">
        <f t="shared" si="18"/>
        <v>0</v>
      </c>
      <c r="L31" s="472">
        <f t="shared" ca="1" si="18"/>
        <v>0</v>
      </c>
      <c r="M31" s="472">
        <f t="shared" si="18"/>
        <v>0</v>
      </c>
      <c r="N31" s="472">
        <f t="shared" ca="1" si="18"/>
        <v>0</v>
      </c>
      <c r="O31" s="472">
        <f t="shared" si="18"/>
        <v>0</v>
      </c>
      <c r="P31" s="473">
        <f t="shared" si="18"/>
        <v>0</v>
      </c>
      <c r="Q31" s="473">
        <f t="shared" ca="1" si="18"/>
        <v>39147.847263088028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0.18000592199380477</v>
      </c>
      <c r="C17" s="512">
        <f ca="1">'EF ele_warmte'!B22</f>
        <v>0.23764705882352949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0.18000592199380477</v>
      </c>
      <c r="C17" s="512">
        <f ca="1">'EF ele_warmte'!B22</f>
        <v>0.23764705882352949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0.18000592199380477</v>
      </c>
      <c r="C29" s="513">
        <f ca="1">'EF ele_warmte'!B22</f>
        <v>0.23764705882352949</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2018-06-27T09:18:17Z</dcterms:modified>
</cp:coreProperties>
</file>