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0" s="1"/>
  <c r="D31" i="20"/>
  <c r="E43" i="14" s="1"/>
  <c r="E12" i="22"/>
  <c r="F17" i="14"/>
  <c r="E13" i="48"/>
  <c r="E30" s="1"/>
  <c r="I101" i="18"/>
  <c r="H16" s="1"/>
  <c r="I78" i="14" s="1"/>
  <c r="I81" s="1"/>
  <c r="E101" i="18"/>
  <c r="E16" s="1"/>
  <c r="F78" i="14" s="1"/>
  <c r="H101" i="18"/>
  <c r="D101"/>
  <c r="G101"/>
  <c r="I16" s="1"/>
  <c r="J78" i="14" s="1"/>
  <c r="C101" i="18"/>
  <c r="F101"/>
  <c r="B101"/>
  <c r="C16" s="1"/>
  <c r="D78" i="14" s="1"/>
  <c r="O78" s="1"/>
  <c r="I11" i="48"/>
  <c r="I28" s="1"/>
  <c r="N19" i="19"/>
  <c r="O35" i="14" s="1"/>
  <c r="B6" i="48"/>
  <c r="Q6" s="1"/>
  <c r="B8" i="9"/>
  <c r="P22" i="16"/>
  <c r="Q39" i="14" s="1"/>
  <c r="P18" i="16"/>
  <c r="P8" i="48" s="1"/>
  <c r="P25" s="1"/>
  <c r="F8" i="17"/>
  <c r="G22" i="14" s="1"/>
  <c r="K22"/>
  <c r="J8" i="17"/>
  <c r="J7" i="48" s="1"/>
  <c r="J24" s="1"/>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28" s="1"/>
  <c r="L12" i="13"/>
  <c r="M37" i="14" s="1"/>
  <c r="J7" i="15"/>
  <c r="B13" i="16"/>
  <c r="C35"/>
  <c r="I19" i="18"/>
  <c r="C80" i="14"/>
  <c r="L6" i="17"/>
  <c r="N13" i="15"/>
  <c r="L13"/>
  <c r="L16" s="1"/>
  <c r="K5" i="48"/>
  <c r="K22" s="1"/>
  <c r="K20" i="15"/>
  <c r="L36" i="14" s="1"/>
  <c r="L41"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F27" s="1"/>
  <c r="L18" i="14"/>
  <c r="L20" s="1"/>
  <c r="K58" i="22"/>
  <c r="L44" i="14" s="1"/>
  <c r="L46" s="1"/>
  <c r="K10" i="48"/>
  <c r="Q18" i="14"/>
  <c r="Q20" s="1"/>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H15" i="14"/>
  <c r="L15"/>
  <c r="Q46"/>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F30"/>
  <c r="J30"/>
  <c r="N30"/>
  <c r="G23"/>
  <c r="K23"/>
  <c r="O23"/>
  <c r="G25"/>
  <c r="F26"/>
  <c r="J26"/>
  <c r="O26"/>
  <c r="J27"/>
  <c r="D29"/>
  <c r="H29"/>
  <c r="L29"/>
  <c r="P29"/>
  <c r="K30"/>
  <c r="O30"/>
  <c r="C22" i="13"/>
  <c r="C21"/>
  <c r="C20"/>
  <c r="D23" i="48"/>
  <c r="H23"/>
  <c r="P23"/>
  <c r="H25"/>
  <c r="P26"/>
  <c r="F28"/>
  <c r="J28"/>
  <c r="N28"/>
  <c r="P30"/>
  <c r="E23"/>
  <c r="I23"/>
  <c r="O24"/>
  <c r="I25"/>
  <c r="P11" i="14"/>
  <c r="O12" i="13"/>
  <c r="P37" i="14" s="1"/>
  <c r="B10" i="48"/>
  <c r="C18" i="14"/>
  <c r="B50" i="13"/>
  <c r="P24" i="48"/>
  <c r="E5" i="17"/>
  <c r="C8"/>
  <c r="G24" i="48"/>
  <c r="I24"/>
  <c r="G81" i="14"/>
  <c r="D79"/>
  <c r="H79"/>
  <c r="H81" s="1"/>
  <c r="L79"/>
  <c r="L81" s="1"/>
  <c r="F79"/>
  <c r="J79"/>
  <c r="E68"/>
  <c r="E69" s="1"/>
  <c r="I68"/>
  <c r="M68"/>
  <c r="M69" s="1"/>
  <c r="D19" i="18"/>
  <c r="L19"/>
  <c r="B68" i="14"/>
  <c r="G68"/>
  <c r="G69" s="1"/>
  <c r="K68"/>
  <c r="E81"/>
  <c r="M81"/>
  <c r="F19" i="18"/>
  <c r="D11" i="14"/>
  <c r="C4" i="48"/>
  <c r="M8" i="18"/>
  <c r="M17"/>
  <c r="M18"/>
  <c r="D13" i="14"/>
  <c r="L8" i="17" l="1"/>
  <c r="L12" s="1"/>
  <c r="M48" i="14" s="1"/>
  <c r="L5" i="17"/>
  <c r="F7" i="48"/>
  <c r="F24" s="1"/>
  <c r="C19" i="18"/>
  <c r="J12" i="17"/>
  <c r="K48" i="14" s="1"/>
  <c r="E19" i="18"/>
  <c r="B19"/>
  <c r="H19"/>
  <c r="F12" i="17"/>
  <c r="G48" i="14" s="1"/>
  <c r="C68"/>
  <c r="F81"/>
  <c r="J81"/>
  <c r="L27" i="48"/>
  <c r="D8"/>
  <c r="D25" s="1"/>
  <c r="D18" i="16"/>
  <c r="D22" s="1"/>
  <c r="E39" i="14" s="1"/>
  <c r="L21" i="48"/>
  <c r="B14" i="22"/>
  <c r="B9" i="48" s="1"/>
  <c r="I17" i="14"/>
  <c r="H12" i="22"/>
  <c r="D16" i="15"/>
  <c r="D20" s="1"/>
  <c r="B35" i="13"/>
  <c r="N8" i="17"/>
  <c r="I100" i="18"/>
  <c r="H7" s="1"/>
  <c r="E100"/>
  <c r="E7" s="1"/>
  <c r="H100"/>
  <c r="D100"/>
  <c r="G100"/>
  <c r="I7" s="1"/>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F19" i="14"/>
  <c r="E14" i="22"/>
  <c r="K14" i="48"/>
  <c r="B34" i="13"/>
  <c r="B46" s="1"/>
  <c r="E5" s="1"/>
  <c r="E8" s="1"/>
  <c r="E12" s="1"/>
  <c r="F37" i="14" s="1"/>
  <c r="O18" i="16"/>
  <c r="M13" i="48"/>
  <c r="M51" i="22"/>
  <c r="M50" s="1"/>
  <c r="M54" s="1"/>
  <c r="M10" i="48" s="1"/>
  <c r="M27" s="1"/>
  <c r="H31" i="20"/>
  <c r="I43" i="14" s="1"/>
  <c r="H13" i="48"/>
  <c r="H30" s="1"/>
  <c r="M31" i="20"/>
  <c r="N43" i="14" s="1"/>
  <c r="G50" i="22"/>
  <c r="G54" s="1"/>
  <c r="H18" i="14" s="1"/>
  <c r="G13" i="48"/>
  <c r="F20" i="14"/>
  <c r="H17"/>
  <c r="G30" i="48"/>
  <c r="M5" i="22"/>
  <c r="M14" s="1"/>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D18" i="22"/>
  <c r="E45" i="14" s="1"/>
  <c r="E46" s="1"/>
  <c r="E19"/>
  <c r="E20" s="1"/>
  <c r="O28" i="48"/>
  <c r="H22"/>
  <c r="K31"/>
  <c r="L26"/>
  <c r="M30"/>
  <c r="M29"/>
  <c r="M25"/>
  <c r="M24"/>
  <c r="I31"/>
  <c r="C50" i="13"/>
  <c r="J5" s="1"/>
  <c r="J8" s="1"/>
  <c r="E7" i="48"/>
  <c r="E24" s="1"/>
  <c r="E12" i="17"/>
  <c r="F48" i="14" s="1"/>
  <c r="C5" i="48"/>
  <c r="C14" s="1"/>
  <c r="M22" i="14" l="1"/>
  <c r="J7" i="18"/>
  <c r="J9" s="1"/>
  <c r="L7" i="48"/>
  <c r="L24" s="1"/>
  <c r="C19" i="14"/>
  <c r="C20" s="1"/>
  <c r="R17"/>
  <c r="E10"/>
  <c r="E15" s="1"/>
  <c r="E23" s="1"/>
  <c r="D5" i="48"/>
  <c r="D22" s="1"/>
  <c r="D31" s="1"/>
  <c r="J16" i="15"/>
  <c r="K10" i="14" s="1"/>
  <c r="C9" i="18"/>
  <c r="M7"/>
  <c r="M9" s="1"/>
  <c r="D67" i="14"/>
  <c r="N7" i="48"/>
  <c r="N24" s="1"/>
  <c r="N12" i="17"/>
  <c r="O48" i="14" s="1"/>
  <c r="K78"/>
  <c r="M16" i="18"/>
  <c r="M19" s="1"/>
  <c r="J19"/>
  <c r="O22" i="14"/>
  <c r="R22" s="1"/>
  <c r="P15"/>
  <c r="P23" s="1"/>
  <c r="O8" i="48"/>
  <c r="O25" s="1"/>
  <c r="P13" i="14"/>
  <c r="F67"/>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K67" i="14" l="1"/>
  <c r="K69" s="1"/>
  <c r="D14" i="48"/>
  <c r="N18" i="16"/>
  <c r="N8" i="48" s="1"/>
  <c r="J18" i="16"/>
  <c r="J8" i="48" s="1"/>
  <c r="J25" s="1"/>
  <c r="D69" i="14"/>
  <c r="O67"/>
  <c r="F18" i="16"/>
  <c r="G13" i="14" s="1"/>
  <c r="G15" s="1"/>
  <c r="G23" s="1"/>
  <c r="E18" i="16"/>
  <c r="E8" i="48" s="1"/>
  <c r="E20" i="15"/>
  <c r="F36" i="14" s="1"/>
  <c r="C78"/>
  <c r="C81" s="1"/>
  <c r="K81"/>
  <c r="O14" i="48"/>
  <c r="J69" i="14"/>
  <c r="G9" i="48"/>
  <c r="G26" s="1"/>
  <c r="G31" s="1"/>
  <c r="H19" i="14"/>
  <c r="H20" s="1"/>
  <c r="H23" s="1"/>
  <c r="Q10" i="48"/>
  <c r="H46" i="14"/>
  <c r="H53" s="1"/>
  <c r="N19"/>
  <c r="N20" s="1"/>
  <c r="N23" s="1"/>
  <c r="N55" s="1"/>
  <c r="M9" i="48"/>
  <c r="Q9" s="1"/>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N22" i="16"/>
  <c r="O39" i="14" s="1"/>
  <c r="O41" s="1"/>
  <c r="F8" i="48"/>
  <c r="Q4"/>
  <c r="N22"/>
  <c r="R11" i="14"/>
  <c r="J21" i="48"/>
  <c r="R10" i="14"/>
  <c r="K13" l="1"/>
  <c r="K15" s="1"/>
  <c r="K23" s="1"/>
  <c r="K55" s="1"/>
  <c r="C67"/>
  <c r="C69" s="1"/>
  <c r="J31" i="48"/>
  <c r="J14"/>
  <c r="O13" i="14"/>
  <c r="O15" s="1"/>
  <c r="E25" i="48"/>
  <c r="E31" s="1"/>
  <c r="E14"/>
  <c r="N25"/>
  <c r="N14"/>
  <c r="E22" i="16"/>
  <c r="F39" i="14" s="1"/>
  <c r="F41" s="1"/>
  <c r="F53" s="1"/>
  <c r="F55" s="1"/>
  <c r="J22" i="16"/>
  <c r="K39" i="14" s="1"/>
  <c r="K41" s="1"/>
  <c r="K53" s="1"/>
  <c r="Q8" i="48"/>
  <c r="Q14" s="1"/>
  <c r="N31"/>
  <c r="F13" i="14"/>
  <c r="F15" s="1"/>
  <c r="F23" s="1"/>
  <c r="G14" i="48"/>
  <c r="H55" i="14"/>
  <c r="M14" i="48"/>
  <c r="R19" i="14"/>
  <c r="R20" s="1"/>
  <c r="M26" i="48"/>
  <c r="M31" s="1"/>
  <c r="O53" i="14"/>
  <c r="G53"/>
  <c r="G55" s="1"/>
  <c r="O69" s="1"/>
  <c r="B9" i="6" s="1"/>
  <c r="B12" s="1"/>
  <c r="M53" i="14"/>
  <c r="M55" s="1"/>
  <c r="C12" i="13"/>
  <c r="D37" i="14" s="1"/>
  <c r="D41" s="1"/>
  <c r="C23" i="48"/>
  <c r="C24"/>
  <c r="C27"/>
  <c r="C28"/>
  <c r="C22"/>
  <c r="C25"/>
  <c r="C29"/>
  <c r="C21"/>
  <c r="C26"/>
  <c r="F25"/>
  <c r="F31" s="1"/>
  <c r="F14"/>
  <c r="R13" i="14" l="1"/>
  <c r="R15" s="1"/>
  <c r="R23"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<sst xmlns="http://schemas.openxmlformats.org/spreadsheetml/2006/main" count="2027" uniqueCount="883">
  <si>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</si>
  <si>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</si>
  <si>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</si>
  <si>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</si>
  <si>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</si>
  <si>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</si>
  <si>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</si>
  <si>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</si>
  <si>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</si>
  <si>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</si>
  <si>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</si>
  <si>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</si>
  <si>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</si>
  <si>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</si>
  <si>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</si>
  <si>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</si>
  <si>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</si>
  <si>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</si>
  <si>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</si>
  <si>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</si>
  <si>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</si>
  <si>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</si>
  <si>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</si>
  <si>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</si>
  <si>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</si>
  <si>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</si>
  <si>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</si>
  <si>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</si>
  <si>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</si>
  <si>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</si>
  <si>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</si>
  <si>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</si>
  <si>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</si>
  <si>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</si>
  <si>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</si>
  <si>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</si>
  <si>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</si>
  <si>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</si>
  <si>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</si>
  <si>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</si>
  <si>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</si>
  <si>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</si>
  <si>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</si>
  <si>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</si>
  <si>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</si>
  <si>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</si>
  <si>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</si>
  <si>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</si>
  <si>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</si>
  <si>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</si>
  <si>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</si>
  <si>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</si>
  <si>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</si>
  <si>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</si>
  <si>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</si>
  <si>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</si>
  <si>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</si>
  <si>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</si>
  <si>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</si>
  <si>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</si>
  <si>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</si>
  <si>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</si>
  <si>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</si>
  <si>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</si>
  <si>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</si>
  <si>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</si>
  <si>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</si>
  <si>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</si>
  <si>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</si>
  <si>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</si>
  <si>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</si>
  <si>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</si>
  <si>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</si>
  <si>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</si>
  <si>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</si>
  <si>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</si>
  <si>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</si>
  <si>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</si>
  <si>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</si>
  <si>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</si>
  <si>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</si>
  <si>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</si>
  <si>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</si>
  <si>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</si>
  <si>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</si>
  <si>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</si>
  <si>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</si>
  <si>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</si>
  <si>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</si>
  <si>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</si>
  <si>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</si>
  <si>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</si>
  <si>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</si>
  <si>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</si>
  <si>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</si>
  <si>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</si>
  <si>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</si>
  <si>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</si>
  <si>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</si>
  <si>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</si>
  <si>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</si>
  <si>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</si>
  <si>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</si>
  <si>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</si>
  <si>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</si>
  <si>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</si>
  <si>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</si>
  <si>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</si>
  <si>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</si>
  <si>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</si>
  <si>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</si>
  <si>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</si>
  <si>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</si>
  <si>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</si>
  <si>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</si>
  <si>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</si>
  <si>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</si>
  <si>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</si>
  <si>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</si>
  <si>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</si>
  <si>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</si>
  <si>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</si>
  <si>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</si>
  <si>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</si>
  <si>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</si>
  <si>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</si>
  <si>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</si>
  <si>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</si>
  <si>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</si>
  <si>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</si>
  <si>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</si>
  <si>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</si>
  <si>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</si>
  <si>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</si>
  <si>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</si>
  <si>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</si>
  <si>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</si>
  <si>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</si>
  <si>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</si>
  <si>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</si>
  <si>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</si>
  <si>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</si>
  <si>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</si>
  <si>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</si>
  <si>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</si>
  <si>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</si>
  <si>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</si>
  <si>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</si>
  <si>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</si>
  <si>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</si>
  <si>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</si>
  <si>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</si>
  <si>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</si>
  <si>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</si>
  <si>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</si>
  <si>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</si>
  <si>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</si>
  <si>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</si>
  <si>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</si>
  <si>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</si>
  <si>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</si>
  <si>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</si>
  <si>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</si>
  <si>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</si>
  <si>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</si>
  <si>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</si>
  <si>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</si>
  <si>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</si>
  <si>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</si>
  <si>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</si>
  <si>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</si>
  <si>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</si>
  <si>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</si>
  <si>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</si>
  <si>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</si>
  <si>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</si>
  <si>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</si>
  <si>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</si>
  <si>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</si>
  <si>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</si>
  <si>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</si>
  <si>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</si>
  <si>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</si>
  <si>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</si>
  <si>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</si>
  <si>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</si>
  <si>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</si>
  <si>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</si>
  <si>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</si>
  <si>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</si>
  <si>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</si>
  <si>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</si>
  <si>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</si>
  <si>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</si>
  <si>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</si>
  <si>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</si>
  <si>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</si>
  <si>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</si>
  <si>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</si>
  <si>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</si>
  <si>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</si>
  <si>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</si>
  <si>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</si>
  <si>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</si>
  <si>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</si>
  <si>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</si>
  <si>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</si>
  <si>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</si>
  <si>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</si>
  <si>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</si>
  <si>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</si>
  <si>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</si>
  <si>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</si>
  <si>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</si>
  <si>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</si>
  <si>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</si>
  <si>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</si>
  <si>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</si>
  <si>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</si>
  <si>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</si>
  <si>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</si>
  <si>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</si>
  <si>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</si>
  <si>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</si>
  <si>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</si>
  <si>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</si>
  <si>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</si>
  <si>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</si>
  <si>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</si>
  <si>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</si>
  <si>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</si>
  <si>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</si>
  <si>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</si>
  <si>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</si>
  <si>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</si>
  <si>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</si>
  <si>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</si>
  <si>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</si>
  <si>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</si>
  <si>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</si>
  <si>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</si>
  <si>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</si>
  <si>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</si>
  <si>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</si>
  <si>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</si>
  <si>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</si>
  <si>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</si>
  <si>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</si>
  <si>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</si>
  <si>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</si>
  <si>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</si>
  <si>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</si>
  <si>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</si>
  <si>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</si>
  <si>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</si>
  <si>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</si>
  <si>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</si>
  <si>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</si>
  <si>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</si>
  <si>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</si>
  <si>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</si>
  <si>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</si>
  <si>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</si>
  <si>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</si>
  <si>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</si>
  <si>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</si>
  <si>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</si>
  <si>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</si>
  <si>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</si>
  <si>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</si>
  <si>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</si>
  <si>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</si>
  <si>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</si>
  <si>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</si>
  <si>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</si>
  <si>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</si>
  <si>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</si>
  <si>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</si>
  <si>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</si>
  <si>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</si>
  <si>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</si>
  <si>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</si>
  <si>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</si>
  <si>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</si>
  <si>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</si>
  <si>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</si>
  <si>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</si>
  <si>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</si>
  <si>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</si>
  <si>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</si>
  <si>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</si>
  <si>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</si>
  <si>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</si>
  <si>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</si>
  <si>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</si>
  <si>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</si>
  <si>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</si>
  <si>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</si>
  <si>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</si>
  <si>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</si>
  <si>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</si>
  <si>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</si>
  <si>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</si>
  <si>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</si>
  <si>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</si>
  <si>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</si>
  <si>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</si>
  <si>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</si>
  <si>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</si>
  <si>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</si>
  <si>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</si>
  <si>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</si>
  <si>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</si>
  <si>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</si>
  <si>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</si>
  <si>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</si>
  <si>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</si>
  <si>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</si>
  <si>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</si>
  <si>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</si>
  <si>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</si>
  <si>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</si>
  <si>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</si>
  <si>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</si>
  <si>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</si>
  <si>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</si>
  <si>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</si>
  <si>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</si>
  <si>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</si>
  <si>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</si>
  <si>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</si>
  <si>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</si>
  <si>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</si>
  <si>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</si>
  <si>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</si>
  <si>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</si>
  <si>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</si>
  <si>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</si>
  <si>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</si>
  <si>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</si>
  <si>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</si>
  <si>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</si>
  <si>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</si>
  <si>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</si>
  <si>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</si>
  <si>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</si>
  <si>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</si>
  <si>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</si>
  <si>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</si>
  <si>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</si>
  <si>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</si>
  <si>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</si>
  <si>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</si>
  <si>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</si>
  <si>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</si>
  <si>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</si>
  <si>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</si>
  <si>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</si>
  <si>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</si>
  <si>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</si>
  <si>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</si>
  <si>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</si>
  <si>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</si>
  <si>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</si>
  <si>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</si>
  <si>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</si>
  <si>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</si>
  <si>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</si>
  <si>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</si>
  <si>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</si>
  <si>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</si>
  <si>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</si>
  <si>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</si>
  <si>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</si>
  <si>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</si>
  <si>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</si>
  <si>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</si>
  <si>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</si>
  <si>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</si>
  <si>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</si>
  <si>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</si>
  <si>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</si>
  <si>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</si>
  <si>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</si>
  <si>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</si>
  <si>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</si>
  <si>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</si>
  <si>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</si>
  <si>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</si>
  <si>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</si>
  <si>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</si>
  <si>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</si>
  <si>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</si>
  <si>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</si>
  <si>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</si>
  <si>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</si>
  <si>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</si>
  <si>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</si>
  <si>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</si>
  <si>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</si>
  <si>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</si>
  <si>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</si>
  <si>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</si>
  <si>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</si>
  <si>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</si>
  <si>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</si>
  <si>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</si>
  <si>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</si>
  <si>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</si>
  <si>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</si>
  <si>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</si>
  <si>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</si>
  <si>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</si>
  <si>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</si>
  <si>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</si>
  <si>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</si>
  <si>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</si>
  <si>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</si>
  <si>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</si>
  <si>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</si>
  <si>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</si>
  <si>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</si>
  <si>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</si>
  <si>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</si>
  <si>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</si>
  <si>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</si>
  <si>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</si>
  <si>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</si>
  <si>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</si>
  <si>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</si>
  <si>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</si>
  <si>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</si>
  <si>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</si>
  <si>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</si>
  <si>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</si>
  <si>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</si>
  <si>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</si>
  <si>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</si>
  <si>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</si>
  <si>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</si>
  <si>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</si>
  <si>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</si>
  <si>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</si>
  <si>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</si>
  <si>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</si>
  <si>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</si>
  <si>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</si>
  <si>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</si>
  <si>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</si>
  <si>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</si>
  <si>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</si>
  <si>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</si>
  <si>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</si>
  <si>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</si>
  <si>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</si>
  <si>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</si>
  <si>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</si>
  <si>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</si>
  <si>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</si>
  <si>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</si>
  <si>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</si>
  <si>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</si>
  <si>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</si>
  <si>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</si>
  <si>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</si>
  <si>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</si>
  <si>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</si>
  <si>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</si>
  <si>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</si>
  <si>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</si>
  <si>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</si>
  <si>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</si>
  <si>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</si>
  <si>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</si>
  <si>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</si>
  <si>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</si>
  <si>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</si>
  <si>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</si>
  <si>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</si>
  <si>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</si>
  <si>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</si>
  <si>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</si>
  <si>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</si>
  <si>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</si>
  <si>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</si>
  <si>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</si>
  <si>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</si>
  <si>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</si>
  <si>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</si>
  <si>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</si>
  <si>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</si>
  <si>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</si>
  <si>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</si>
  <si>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</si>
  <si>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</si>
  <si>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</si>
  <si>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</si>
  <si>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</si>
  <si>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</si>
  <si>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</si>
  <si>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</si>
  <si>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</si>
  <si>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</si>
  <si>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</si>
  <si>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</si>
  <si>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</si>
  <si>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</si>
  <si>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</si>
  <si>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</si>
  <si>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</si>
  <si>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</si>
  <si>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</si>
  <si>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</si>
  <si>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</si>
  <si>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</si>
  <si>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</si>
  <si>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</si>
  <si>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</si>
  <si>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</si>
  <si>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</si>
  <si>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</si>
  <si>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</si>
  <si>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</si>
  <si>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</si>
  <si>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</si>
  <si>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</si>
  <si>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</si>
  <si>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</si>
  <si>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</si>
  <si>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</si>
  <si>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</si>
  <si>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</si>
  <si>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</si>
  <si>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</si>
  <si>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</si>
  <si>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</si>
  <si>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</si>
  <si>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</si>
  <si>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</si>
  <si>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</si>
  <si>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</si>
  <si>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</si>
  <si>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</si>
  <si>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</si>
  <si>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</si>
  <si>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</si>
  <si>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</si>
  <si>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</si>
  <si>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</si>
  <si>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</si>
  <si>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</si>
  <si>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</si>
  <si>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</si>
  <si>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</si>
  <si>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</si>
  <si>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</si>
  <si>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</si>
  <si>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</si>
  <si>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</si>
  <si>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</si>
  <si>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</si>
  <si>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</si>
  <si>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</si>
  <si>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</si>
  <si>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</si>
  <si>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</si>
  <si>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</si>
  <si>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</si>
  <si>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</si>
  <si>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</si>
  <si>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</si>
  <si>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</si>
  <si>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</si>
  <si>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</si>
  <si>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</si>
  <si>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</si>
  <si>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</si>
  <si>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</si>
  <si>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</si>
  <si>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</si>
  <si>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</si>
  <si>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</si>
  <si>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</si>
  <si>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</si>
  <si>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</si>
  <si>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</si>
  <si>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</si>
  <si>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</si>
  <si>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</si>
  <si>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</si>
  <si>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</si>
  <si>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</si>
  <si>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</si>
  <si>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</si>
  <si>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</si>
  <si>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</si>
  <si>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</si>
  <si>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</si>
  <si>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</si>
  <si>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</si>
  <si>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</si>
  <si>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</si>
  <si>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</si>
  <si>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</si>
  <si>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</si>
  <si>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</si>
  <si>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</si>
  <si>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</si>
  <si>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</si>
  <si>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</si>
  <si>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</si>
  <si>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</si>
  <si>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</si>
  <si>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</si>
  <si>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</si>
  <si>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</si>
  <si>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</si>
  <si>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</si>
  <si>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</si>
  <si>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</si>
  <si>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</si>
  <si>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</si>
  <si>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</si>
  <si>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</si>
  <si>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</si>
  <si>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</si>
  <si>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</si>
  <si>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</si>
  <si>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</si>
  <si>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</si>
  <si>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</si>
  <si>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</si>
  <si>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</si>
  <si>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</si>
  <si>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</si>
  <si>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</si>
  <si>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</si>
  <si>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</si>
  <si>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</si>
  <si>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</si>
  <si>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</si>
  <si>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</si>
  <si>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</si>
  <si>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</si>
  <si>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</si>
  <si>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</si>
  <si>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</si>
  <si>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</si>
  <si>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</si>
  <si>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</si>
  <si>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</si>
  <si>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</si>
  <si>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</si>
  <si>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</si>
  <si>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</si>
  <si>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</si>
  <si>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</si>
  <si>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</si>
  <si>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</si>
  <si>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</si>
  <si>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</si>
  <si>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</si>
  <si>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</si>
  <si>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</si>
  <si>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</si>
  <si>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</si>
  <si>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</si>
  <si>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</si>
  <si>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</si>
  <si>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</si>
  <si>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</si>
  <si>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</si>
  <si>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</si>
  <si>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</si>
  <si>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</si>
  <si>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</si>
  <si>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</si>
  <si>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</si>
  <si>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</si>
  <si>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</si>
  <si>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</si>
  <si>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</si>
  <si>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</si>
  <si>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</si>
  <si>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</si>
  <si>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</si>
  <si>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</si>
  <si>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</si>
  <si>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</si>
  <si>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</si>
  <si>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</si>
  <si>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</si>
  <si>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</si>
  <si>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</si>
  <si>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</si>
  <si>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</si>
  <si>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</si>
  <si>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</si>
  <si>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</si>
  <si>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</si>
  <si>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</si>
  <si>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</si>
  <si>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</si>
  <si>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</si>
  <si>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</si>
  <si>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</si>
  <si>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</si>
  <si>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</si>
  <si>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</si>
  <si>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</si>
  <si>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</si>
  <si>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</si>
  <si>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</si>
  <si>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</si>
  <si>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</si>
  <si>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</si>
  <si>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</si>
  <si>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</si>
  <si>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</si>
  <si>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</si>
  <si>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</si>
  <si>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</si>
  <si>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</si>
  <si>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</si>
  <si>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</si>
  <si>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</si>
  <si>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</si>
  <si>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</si>
  <si>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</si>
  <si>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</si>
  <si>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</si>
  <si>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</si>
  <si>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</si>
  <si>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</si>
  <si>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</si>
  <si>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</si>
  <si>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</si>
  <si>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</si>
  <si>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</si>
  <si>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</si>
  <si>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</si>
  <si>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</si>
  <si>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</si>
  <si>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</si>
  <si>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</si>
  <si>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</si>
  <si>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</si>
  <si>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</si>
  <si>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</si>
  <si>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</si>
  <si>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</si>
  <si>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</si>
  <si>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</si>
  <si>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</si>
  <si>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</si>
  <si>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</si>
  <si>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</si>
  <si>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</si>
  <si>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</si>
  <si>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</si>
  <si>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</si>
  <si>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</si>
  <si>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</si>
  <si>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</si>
  <si>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</si>
  <si>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</si>
  <si>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</si>
  <si>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</si>
  <si>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</si>
  <si>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</si>
  <si>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</si>
  <si>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</si>
  <si>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</si>
  <si>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</si>
  <si>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</si>
  <si>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</si>
  <si>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</si>
  <si>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</si>
  <si>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</si>
  <si>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</si>
  <si>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</si>
  <si>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</si>
  <si>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</si>
  <si>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</si>
  <si>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</si>
  <si>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</si>
  <si>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</si>
  <si>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</si>
  <si>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</si>
  <si>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</si>
  <si>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</si>
  <si>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</si>
  <si>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</si>
  <si>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</si>
  <si>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</si>
  <si>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</si>
  <si>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</si>
  <si>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</si>
  <si>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</si>
  <si>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</si>
  <si>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</si>
  <si>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</si>
  <si>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</si>
  <si>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</si>
  <si>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</si>
  <si>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</si>
  <si>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</si>
  <si>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</si>
  <si>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</si>
  <si>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</si>
  <si>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</si>
  <si>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</si>
  <si>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</si>
  <si>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</si>
  <si>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</si>
  <si>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</si>
  <si>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</si>
  <si>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</si>
  <si>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</si>
  <si>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</si>
  <si>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</si>
  <si>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</si>
  <si>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</si>
  <si>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</si>
  <si>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</si>
  <si>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</si>
  <si>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</si>
  <si>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</si>
  <si>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</si>
  <si>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</si>
  <si>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</si>
  <si>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</si>
  <si>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</si>
  <si>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</si>
  <si>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</si>
  <si>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</si>
  <si>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</si>
  <si>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</si>
  <si>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</si>
  <si>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</si>
  <si>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</si>
  <si>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</si>
  <si>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</si>
  <si>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</si>
  <si>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</si>
  <si>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</si>
  <si>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</si>
  <si>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</si>
  <si>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</si>
  <si>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</si>
  <si>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</si>
  <si>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</si>
  <si>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</si>
  <si>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</si>
  <si>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</si>
  <si>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</si>
  <si>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</si>
  <si>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</si>
  <si>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</si>
  <si>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</si>
  <si>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</si>
  <si>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</si>
  <si>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</si>
  <si>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</si>
  <si>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</si>
  <si>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</si>
  <si>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</si>
  <si>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</si>
  <si>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</si>
  <si>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</si>
  <si>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</si>
  <si>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23105</t>
  </si>
  <si>
    <t>AFFLIGEM</t>
  </si>
  <si>
    <t>Paarden&amp;pony's 200 - 600 kg</t>
  </si>
  <si>
    <t>Paarden&amp;pony's &lt; 200 kg</t>
  </si>
  <si>
    <t>op basis van VEA (maart 2018) en Inventaris Hernieuwbare Energiebronnen (juni 2018)</t>
  </si>
  <si>
    <t>VEA (juni 2018)</t>
  </si>
  <si>
    <t>Bloemen De Baerdemaeker bvba</t>
  </si>
  <si>
    <t>Pastorijweg 80 , 1790 Affligem</t>
  </si>
  <si>
    <t>WKK-0374 Bloemen De Baerdemaeker</t>
  </si>
  <si>
    <t>interne verbrandingsmotor</t>
  </si>
  <si>
    <t>WKK interne verbrandinsgmotor (gas)</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</si>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</sst>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23105</v>
      </c>
      <c r="B6" s="397"/>
      <c r="C6" s="398"/>
    </row>
    <row r="7" spans="1:7" s="395" customFormat="1" ht="15.75" customHeight="1">
      <c r="A7" s="399" t="str">
        <f>txtMunicipality</f>
        <v>AFFLIGEM</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23105</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5019</v>
      </c>
      <c r="C9" s="338">
        <v>5419</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555</v>
      </c>
    </row>
    <row r="15" spans="1:6">
      <c r="A15" s="1205" t="s">
        <v>184</v>
      </c>
      <c r="B15" s="335">
        <v>1</v>
      </c>
    </row>
    <row r="16" spans="1:6">
      <c r="A16" s="1205" t="s">
        <v>6</v>
      </c>
      <c r="B16" s="335">
        <v>59</v>
      </c>
    </row>
    <row r="17" spans="1:6">
      <c r="A17" s="1205" t="s">
        <v>7</v>
      </c>
      <c r="B17" s="335">
        <v>61</v>
      </c>
    </row>
    <row r="18" spans="1:6">
      <c r="A18" s="1205" t="s">
        <v>8</v>
      </c>
      <c r="B18" s="335">
        <v>94</v>
      </c>
    </row>
    <row r="19" spans="1:6">
      <c r="A19" s="1205" t="s">
        <v>9</v>
      </c>
      <c r="B19" s="335">
        <v>87</v>
      </c>
    </row>
    <row r="20" spans="1:6">
      <c r="A20" s="1205" t="s">
        <v>10</v>
      </c>
      <c r="B20" s="335">
        <v>214</v>
      </c>
    </row>
    <row r="21" spans="1:6">
      <c r="A21" s="1205" t="s">
        <v>11</v>
      </c>
      <c r="B21" s="335">
        <v>0</v>
      </c>
    </row>
    <row r="22" spans="1:6">
      <c r="A22" s="1205" t="s">
        <v>12</v>
      </c>
      <c r="B22" s="335">
        <v>0</v>
      </c>
    </row>
    <row r="23" spans="1:6">
      <c r="A23" s="1205" t="s">
        <v>13</v>
      </c>
      <c r="B23" s="335">
        <v>0</v>
      </c>
    </row>
    <row r="24" spans="1:6">
      <c r="A24" s="1205" t="s">
        <v>14</v>
      </c>
      <c r="B24" s="335">
        <v>0</v>
      </c>
    </row>
    <row r="25" spans="1:6">
      <c r="A25" s="1205" t="s">
        <v>15</v>
      </c>
      <c r="B25" s="335">
        <v>0</v>
      </c>
    </row>
    <row r="26" spans="1:6">
      <c r="A26" s="1205" t="s">
        <v>16</v>
      </c>
      <c r="B26" s="335">
        <v>0</v>
      </c>
    </row>
    <row r="27" spans="1:6">
      <c r="A27" s="1205" t="s">
        <v>17</v>
      </c>
      <c r="B27" s="335">
        <v>0</v>
      </c>
    </row>
    <row r="28" spans="1:6" s="341" customFormat="1">
      <c r="A28" s="1206" t="s">
        <v>18</v>
      </c>
      <c r="B28" s="1206">
        <v>0</v>
      </c>
    </row>
    <row r="29" spans="1:6">
      <c r="A29" s="1206" t="s">
        <v>873</v>
      </c>
      <c r="B29" s="1206">
        <v>68</v>
      </c>
      <c r="C29" s="341"/>
      <c r="D29" s="341"/>
      <c r="E29" s="341"/>
      <c r="F29" s="341"/>
    </row>
    <row r="30" spans="1:6">
      <c r="A30" s="1201" t="s">
        <v>874</v>
      </c>
      <c r="B30" s="1201">
        <v>12</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1</v>
      </c>
      <c r="D38" s="335">
        <v>17578.494428170201</v>
      </c>
      <c r="E38" s="335">
        <v>0</v>
      </c>
      <c r="F38" s="335">
        <v>0</v>
      </c>
    </row>
    <row r="39" spans="1:6">
      <c r="A39" s="1205" t="s">
        <v>30</v>
      </c>
      <c r="B39" s="1205" t="s">
        <v>31</v>
      </c>
      <c r="C39" s="335">
        <v>1980</v>
      </c>
      <c r="D39" s="335">
        <v>36913547.065419704</v>
      </c>
      <c r="E39" s="335">
        <v>4989</v>
      </c>
      <c r="F39" s="335">
        <v>24502981.072091602</v>
      </c>
    </row>
    <row r="40" spans="1:6">
      <c r="A40" s="1205" t="s">
        <v>30</v>
      </c>
      <c r="B40" s="1205" t="s">
        <v>29</v>
      </c>
      <c r="C40" s="335">
        <v>1</v>
      </c>
      <c r="D40" s="335">
        <v>37516.381550118</v>
      </c>
      <c r="E40" s="335">
        <v>1</v>
      </c>
      <c r="F40" s="335">
        <v>7982</v>
      </c>
    </row>
    <row r="41" spans="1:6">
      <c r="A41" s="1205" t="s">
        <v>32</v>
      </c>
      <c r="B41" s="1205" t="s">
        <v>33</v>
      </c>
      <c r="C41" s="335">
        <v>13</v>
      </c>
      <c r="D41" s="335">
        <v>260730.702263852</v>
      </c>
      <c r="E41" s="335">
        <v>67</v>
      </c>
      <c r="F41" s="335">
        <v>497272.10205591901</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4</v>
      </c>
      <c r="F44" s="335">
        <v>49696</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17</v>
      </c>
      <c r="D48" s="335">
        <v>909673.40332518204</v>
      </c>
      <c r="E48" s="335">
        <v>33</v>
      </c>
      <c r="F48" s="335">
        <v>1089780.34333828</v>
      </c>
    </row>
    <row r="49" spans="1:6">
      <c r="A49" s="1205" t="s">
        <v>32</v>
      </c>
      <c r="B49" s="1205" t="s">
        <v>40</v>
      </c>
      <c r="C49" s="335">
        <v>0</v>
      </c>
      <c r="D49" s="335">
        <v>0</v>
      </c>
      <c r="E49" s="335">
        <v>0</v>
      </c>
      <c r="F49" s="335">
        <v>0</v>
      </c>
    </row>
    <row r="50" spans="1:6">
      <c r="A50" s="1205" t="s">
        <v>32</v>
      </c>
      <c r="B50" s="1205" t="s">
        <v>41</v>
      </c>
      <c r="C50" s="335">
        <v>0</v>
      </c>
      <c r="D50" s="335">
        <v>0</v>
      </c>
      <c r="E50" s="335">
        <v>7</v>
      </c>
      <c r="F50" s="335">
        <v>332303.665406104</v>
      </c>
    </row>
    <row r="51" spans="1:6">
      <c r="A51" s="1205" t="s">
        <v>42</v>
      </c>
      <c r="B51" s="1205" t="s">
        <v>43</v>
      </c>
      <c r="C51" s="335">
        <v>0</v>
      </c>
      <c r="D51" s="335">
        <v>0</v>
      </c>
      <c r="E51" s="335">
        <v>17</v>
      </c>
      <c r="F51" s="335">
        <v>131981.01700941901</v>
      </c>
    </row>
    <row r="52" spans="1:6">
      <c r="A52" s="1205" t="s">
        <v>42</v>
      </c>
      <c r="B52" s="1205" t="s">
        <v>29</v>
      </c>
      <c r="C52" s="335">
        <v>1</v>
      </c>
      <c r="D52" s="335">
        <v>1080555.52587419</v>
      </c>
      <c r="E52" s="335">
        <v>2</v>
      </c>
      <c r="F52" s="335">
        <v>28509.2204934437</v>
      </c>
    </row>
    <row r="53" spans="1:6">
      <c r="A53" s="1205" t="s">
        <v>44</v>
      </c>
      <c r="B53" s="1205" t="s">
        <v>45</v>
      </c>
      <c r="C53" s="335">
        <v>34</v>
      </c>
      <c r="D53" s="335">
        <v>1072977.30020446</v>
      </c>
      <c r="E53" s="335">
        <v>96</v>
      </c>
      <c r="F53" s="335">
        <v>921144.10696854105</v>
      </c>
    </row>
    <row r="54" spans="1:6">
      <c r="A54" s="1205" t="s">
        <v>46</v>
      </c>
      <c r="B54" s="1205" t="s">
        <v>47</v>
      </c>
      <c r="C54" s="335">
        <v>0</v>
      </c>
      <c r="D54" s="335">
        <v>0</v>
      </c>
      <c r="E54" s="335">
        <v>1</v>
      </c>
      <c r="F54" s="335">
        <v>849796</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9</v>
      </c>
      <c r="D57" s="335">
        <v>382675.22314272402</v>
      </c>
      <c r="E57" s="335">
        <v>42</v>
      </c>
      <c r="F57" s="335">
        <v>482455.189469893</v>
      </c>
    </row>
    <row r="58" spans="1:6">
      <c r="A58" s="1205" t="s">
        <v>49</v>
      </c>
      <c r="B58" s="1205" t="s">
        <v>51</v>
      </c>
      <c r="C58" s="335">
        <v>5</v>
      </c>
      <c r="D58" s="335">
        <v>233911.47762757799</v>
      </c>
      <c r="E58" s="335">
        <v>22</v>
      </c>
      <c r="F58" s="335">
        <v>289785.67488544702</v>
      </c>
    </row>
    <row r="59" spans="1:6">
      <c r="A59" s="1205" t="s">
        <v>49</v>
      </c>
      <c r="B59" s="1205" t="s">
        <v>52</v>
      </c>
      <c r="C59" s="335">
        <v>21</v>
      </c>
      <c r="D59" s="335">
        <v>1204910.98562024</v>
      </c>
      <c r="E59" s="335">
        <v>99</v>
      </c>
      <c r="F59" s="335">
        <v>1960024.9890026399</v>
      </c>
    </row>
    <row r="60" spans="1:6">
      <c r="A60" s="1205" t="s">
        <v>49</v>
      </c>
      <c r="B60" s="1205" t="s">
        <v>53</v>
      </c>
      <c r="C60" s="335">
        <v>24</v>
      </c>
      <c r="D60" s="335">
        <v>2046868.6122908101</v>
      </c>
      <c r="E60" s="335">
        <v>46</v>
      </c>
      <c r="F60" s="335">
        <v>1735544.81840063</v>
      </c>
    </row>
    <row r="61" spans="1:6">
      <c r="A61" s="1205" t="s">
        <v>49</v>
      </c>
      <c r="B61" s="1205" t="s">
        <v>54</v>
      </c>
      <c r="C61" s="335">
        <v>32</v>
      </c>
      <c r="D61" s="335">
        <v>1003070.70697832</v>
      </c>
      <c r="E61" s="335">
        <v>153</v>
      </c>
      <c r="F61" s="335">
        <v>1685738.1062294201</v>
      </c>
    </row>
    <row r="62" spans="1:6">
      <c r="A62" s="1205" t="s">
        <v>49</v>
      </c>
      <c r="B62" s="1205" t="s">
        <v>55</v>
      </c>
      <c r="C62" s="335">
        <v>0</v>
      </c>
      <c r="D62" s="335">
        <v>0</v>
      </c>
      <c r="E62" s="335">
        <v>7</v>
      </c>
      <c r="F62" s="335">
        <v>106917.934532603</v>
      </c>
    </row>
    <row r="63" spans="1:6">
      <c r="A63" s="1205" t="s">
        <v>49</v>
      </c>
      <c r="B63" s="1205" t="s">
        <v>29</v>
      </c>
      <c r="C63" s="335">
        <v>75</v>
      </c>
      <c r="D63" s="335">
        <v>3425219.0383972502</v>
      </c>
      <c r="E63" s="335">
        <v>84</v>
      </c>
      <c r="F63" s="335">
        <v>1249046.12596668</v>
      </c>
    </row>
    <row r="64" spans="1:6">
      <c r="A64" s="1205" t="s">
        <v>56</v>
      </c>
      <c r="B64" s="1205" t="s">
        <v>57</v>
      </c>
      <c r="C64" s="335">
        <v>0</v>
      </c>
      <c r="D64" s="335">
        <v>0</v>
      </c>
      <c r="E64" s="335">
        <v>0</v>
      </c>
      <c r="F64" s="335">
        <v>0</v>
      </c>
    </row>
    <row r="65" spans="1:6">
      <c r="A65" s="1205" t="s">
        <v>56</v>
      </c>
      <c r="B65" s="1205" t="s">
        <v>29</v>
      </c>
      <c r="C65" s="335">
        <v>3</v>
      </c>
      <c r="D65" s="335">
        <v>79659.987109537993</v>
      </c>
      <c r="E65" s="335">
        <v>4</v>
      </c>
      <c r="F65" s="335">
        <v>62058.506826932004</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7</v>
      </c>
      <c r="F68" s="335">
        <v>65588.349290031198</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18698299</v>
      </c>
      <c r="E73" s="335">
        <v>18339792.048592631</v>
      </c>
    </row>
    <row r="74" spans="1:6">
      <c r="A74" s="1205" t="s">
        <v>64</v>
      </c>
      <c r="B74" s="1205" t="s">
        <v>772</v>
      </c>
      <c r="C74" s="1216" t="s">
        <v>766</v>
      </c>
      <c r="D74" s="335">
        <v>1008138.6917805054</v>
      </c>
      <c r="E74" s="335">
        <v>1007739.8099627545</v>
      </c>
    </row>
    <row r="75" spans="1:6">
      <c r="A75" s="1205" t="s">
        <v>65</v>
      </c>
      <c r="B75" s="1205" t="s">
        <v>771</v>
      </c>
      <c r="C75" s="1216" t="s">
        <v>767</v>
      </c>
      <c r="D75" s="335">
        <v>26863034</v>
      </c>
      <c r="E75" s="335">
        <v>27169650.319342714</v>
      </c>
    </row>
    <row r="76" spans="1:6">
      <c r="A76" s="1205" t="s">
        <v>65</v>
      </c>
      <c r="B76" s="1205" t="s">
        <v>772</v>
      </c>
      <c r="C76" s="1216" t="s">
        <v>768</v>
      </c>
      <c r="D76" s="335">
        <v>1183260.6917805052</v>
      </c>
      <c r="E76" s="335">
        <v>1196228.8016719392</v>
      </c>
    </row>
    <row r="77" spans="1:6">
      <c r="A77" s="1205" t="s">
        <v>66</v>
      </c>
      <c r="B77" s="1205" t="s">
        <v>771</v>
      </c>
      <c r="C77" s="1216" t="s">
        <v>769</v>
      </c>
      <c r="D77" s="335">
        <v>158883231</v>
      </c>
      <c r="E77" s="335">
        <v>184431049.90003797</v>
      </c>
    </row>
    <row r="78" spans="1:6">
      <c r="A78" s="1201" t="s">
        <v>66</v>
      </c>
      <c r="B78" s="1201" t="s">
        <v>772</v>
      </c>
      <c r="C78" s="1201" t="s">
        <v>770</v>
      </c>
      <c r="D78" s="1201">
        <v>19427644</v>
      </c>
      <c r="E78" s="1201">
        <v>22517428.472850531</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406468.61643898935</v>
      </c>
      <c r="C83" s="335">
        <v>393964.08598776179</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1906.1839030798646</v>
      </c>
    </row>
    <row r="92" spans="1:6">
      <c r="A92" s="1201" t="s">
        <v>69</v>
      </c>
      <c r="B92" s="338">
        <v>119.32579677638633</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664</v>
      </c>
    </row>
    <row r="98" spans="1:6">
      <c r="A98" s="1205" t="s">
        <v>72</v>
      </c>
      <c r="B98" s="335">
        <v>1</v>
      </c>
    </row>
    <row r="99" spans="1:6">
      <c r="A99" s="1205" t="s">
        <v>73</v>
      </c>
      <c r="B99" s="335">
        <v>102</v>
      </c>
    </row>
    <row r="100" spans="1:6">
      <c r="A100" s="1205" t="s">
        <v>74</v>
      </c>
      <c r="B100" s="335">
        <v>471</v>
      </c>
    </row>
    <row r="101" spans="1:6">
      <c r="A101" s="1205" t="s">
        <v>75</v>
      </c>
      <c r="B101" s="335">
        <v>40</v>
      </c>
    </row>
    <row r="102" spans="1:6">
      <c r="A102" s="1205" t="s">
        <v>76</v>
      </c>
      <c r="B102" s="335">
        <v>52</v>
      </c>
    </row>
    <row r="103" spans="1:6">
      <c r="A103" s="1205" t="s">
        <v>77</v>
      </c>
      <c r="B103" s="335">
        <v>128</v>
      </c>
    </row>
    <row r="104" spans="1:6">
      <c r="A104" s="1205" t="s">
        <v>78</v>
      </c>
      <c r="B104" s="335">
        <v>2995</v>
      </c>
    </row>
    <row r="105" spans="1:6">
      <c r="A105" s="1201" t="s">
        <v>79</v>
      </c>
      <c r="B105" s="1201">
        <v>6</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17</v>
      </c>
      <c r="C123" s="335">
        <v>9</v>
      </c>
    </row>
    <row r="124" spans="1:6">
      <c r="A124" s="1201" t="s">
        <v>89</v>
      </c>
      <c r="B124" s="335">
        <v>2</v>
      </c>
      <c r="C124" s="335">
        <v>1</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46</v>
      </c>
    </row>
    <row r="130" spans="1:6">
      <c r="A130" s="1205" t="s">
        <v>295</v>
      </c>
      <c r="B130" s="335">
        <v>0</v>
      </c>
    </row>
    <row r="131" spans="1:6">
      <c r="A131" s="1205" t="s">
        <v>296</v>
      </c>
      <c r="B131" s="335">
        <v>0</v>
      </c>
    </row>
    <row r="132" spans="1:6">
      <c r="A132" s="1201" t="s">
        <v>297</v>
      </c>
      <c r="B132" s="338">
        <v>13</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36950.799681449564</v>
      </c>
      <c r="C3" s="44" t="s">
        <v>170</v>
      </c>
      <c r="D3" s="44"/>
      <c r="E3" s="157"/>
      <c r="F3" s="44"/>
      <c r="G3" s="44"/>
      <c r="H3" s="44"/>
      <c r="I3" s="44"/>
      <c r="J3" s="44"/>
      <c r="K3" s="97"/>
    </row>
    <row r="4" spans="1:11">
      <c r="A4" s="365" t="s">
        <v>171</v>
      </c>
      <c r="B4" s="50">
        <f>IF(ISERROR('SEAP template'!B69),0,'SEAP template'!B69)</f>
        <v>2066.0096998562512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9.6247058823529414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0.20890382233567009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13.749579831932778</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57.857142857142861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849.79600000000005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849.79600000000005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0.20890382233567009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177.52563260556312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24510.963072091603</v>
      </c>
      <c r="C5" s="18">
        <f>IF(ISERROR('Eigen informatie GS &amp; warmtenet'!B57),0,'Eigen informatie GS &amp; warmtenet'!B57)</f>
        <v>0</v>
      </c>
      <c r="D5" s="31">
        <f>(SUM(HH_hh_gas_kWh,HH_rest_gas_kWh)/1000)*0.902</f>
        <v>33329.859229166781</v>
      </c>
      <c r="E5" s="18">
        <f>B46*B57</f>
        <v>4386.5293377768867</v>
      </c>
      <c r="F5" s="18">
        <f>B51*B62</f>
        <v>35723.268598956231</v>
      </c>
      <c r="G5" s="19"/>
      <c r="H5" s="18"/>
      <c r="I5" s="18"/>
      <c r="J5" s="18">
        <f>B50*B61+C50*C61</f>
        <v>0</v>
      </c>
      <c r="K5" s="18"/>
      <c r="L5" s="18"/>
      <c r="M5" s="18"/>
      <c r="N5" s="18">
        <f>B48*B59+C48*C59</f>
        <v>5586.4471226929472</v>
      </c>
      <c r="O5" s="18">
        <f>B69*B70*B71</f>
        <v>87.546666666666681</v>
      </c>
      <c r="P5" s="18">
        <f>B77*B78*B79/1000-B77*B78*B79/1000/B80</f>
        <v>610.13333333333333</v>
      </c>
    </row>
    <row r="6" spans="1:16">
      <c r="A6" s="17" t="s">
        <v>639</v>
      </c>
      <c r="B6" s="831">
        <f>kWh_PV_kleiner_dan_10kW</f>
        <v>1906.1839030798646</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26417.146975171469</v>
      </c>
      <c r="C8" s="22">
        <f>C5</f>
        <v>0</v>
      </c>
      <c r="D8" s="22">
        <f>D5</f>
        <v>33329.859229166781</v>
      </c>
      <c r="E8" s="22">
        <f>E5</f>
        <v>4386.5293377768867</v>
      </c>
      <c r="F8" s="22">
        <f>F5</f>
        <v>35723.268598956231</v>
      </c>
      <c r="G8" s="22"/>
      <c r="H8" s="22"/>
      <c r="I8" s="22"/>
      <c r="J8" s="22">
        <f>J5</f>
        <v>0</v>
      </c>
      <c r="K8" s="22"/>
      <c r="L8" s="22">
        <f>L5</f>
        <v>0</v>
      </c>
      <c r="M8" s="22">
        <f>M5</f>
        <v>0</v>
      </c>
      <c r="N8" s="22">
        <f>N5</f>
        <v>5586.4471226929472</v>
      </c>
      <c r="O8" s="22">
        <f>O5</f>
        <v>87.546666666666681</v>
      </c>
      <c r="P8" s="22">
        <f>P5</f>
        <v>610.13333333333333</v>
      </c>
    </row>
    <row r="9" spans="1:16">
      <c r="B9" s="20"/>
      <c r="C9" s="20"/>
      <c r="D9" s="262"/>
      <c r="E9" s="20"/>
      <c r="F9" s="20"/>
      <c r="G9" s="20"/>
      <c r="H9" s="20"/>
      <c r="I9" s="20"/>
      <c r="J9" s="20"/>
      <c r="K9" s="20"/>
      <c r="L9" s="20"/>
      <c r="M9" s="20"/>
      <c r="N9" s="20"/>
      <c r="O9" s="20"/>
      <c r="P9" s="20"/>
    </row>
    <row r="10" spans="1:16">
      <c r="A10" s="25" t="s">
        <v>214</v>
      </c>
      <c r="B10" s="26">
        <f ca="1">'EF ele_warmte'!B12</f>
        <v>0.20890382233567009</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5518.6429783165049</v>
      </c>
      <c r="C12" s="24">
        <f ca="1">C10*C8</f>
        <v>0</v>
      </c>
      <c r="D12" s="24">
        <f>D8*D10</f>
        <v>6732.6315642916898</v>
      </c>
      <c r="E12" s="24">
        <f>E10*E8</f>
        <v>995.74215967535326</v>
      </c>
      <c r="F12" s="24">
        <f>F10*F8</f>
        <v>9538.1127159213138</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664</v>
      </c>
      <c r="C18" s="169" t="s">
        <v>111</v>
      </c>
      <c r="D18" s="231"/>
      <c r="E18" s="16"/>
    </row>
    <row r="19" spans="1:7">
      <c r="A19" s="174" t="s">
        <v>72</v>
      </c>
      <c r="B19" s="38">
        <f>aantalw2001_ander</f>
        <v>1</v>
      </c>
      <c r="C19" s="169" t="s">
        <v>111</v>
      </c>
      <c r="D19" s="232"/>
      <c r="E19" s="16"/>
    </row>
    <row r="20" spans="1:7">
      <c r="A20" s="174" t="s">
        <v>73</v>
      </c>
      <c r="B20" s="38">
        <f>aantalw2001_propaan</f>
        <v>102</v>
      </c>
      <c r="C20" s="170">
        <f>IF(ISERROR(B20/SUM($B$20,$B$21,$B$22)*100),0,B20/SUM($B$20,$B$21,$B$22)*100)</f>
        <v>16.639477977161501</v>
      </c>
      <c r="D20" s="232"/>
      <c r="E20" s="16"/>
    </row>
    <row r="21" spans="1:7">
      <c r="A21" s="174" t="s">
        <v>74</v>
      </c>
      <c r="B21" s="38">
        <f>aantalw2001_elektriciteit</f>
        <v>471</v>
      </c>
      <c r="C21" s="170">
        <f>IF(ISERROR(B21/SUM($B$20,$B$21,$B$22)*100),0,B21/SUM($B$20,$B$21,$B$22)*100)</f>
        <v>76.83523654159869</v>
      </c>
      <c r="D21" s="232"/>
      <c r="E21" s="16"/>
    </row>
    <row r="22" spans="1:7">
      <c r="A22" s="174" t="s">
        <v>75</v>
      </c>
      <c r="B22" s="38">
        <f>aantalw2001_hout</f>
        <v>40</v>
      </c>
      <c r="C22" s="170">
        <f>IF(ISERROR(B22/SUM($B$20,$B$21,$B$22)*100),0,B22/SUM($B$20,$B$21,$B$22)*100)</f>
        <v>6.5252854812398038</v>
      </c>
      <c r="D22" s="232"/>
      <c r="E22" s="16"/>
    </row>
    <row r="23" spans="1:7">
      <c r="A23" s="174" t="s">
        <v>76</v>
      </c>
      <c r="B23" s="38">
        <f>aantalw2001_niet_gespec</f>
        <v>52</v>
      </c>
      <c r="C23" s="169" t="s">
        <v>111</v>
      </c>
      <c r="D23" s="231"/>
      <c r="E23" s="16"/>
    </row>
    <row r="24" spans="1:7">
      <c r="A24" s="174" t="s">
        <v>77</v>
      </c>
      <c r="B24" s="38">
        <f>aantalw2001_steenkool</f>
        <v>128</v>
      </c>
      <c r="C24" s="169" t="s">
        <v>111</v>
      </c>
      <c r="D24" s="232"/>
      <c r="E24" s="16"/>
    </row>
    <row r="25" spans="1:7">
      <c r="A25" s="174" t="s">
        <v>78</v>
      </c>
      <c r="B25" s="38">
        <f>aantalw2001_stookolie</f>
        <v>2995</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5019</v>
      </c>
      <c r="C28" s="37"/>
      <c r="D28" s="231"/>
    </row>
    <row r="29" spans="1:7" s="16" customFormat="1">
      <c r="A29" s="233" t="s">
        <v>666</v>
      </c>
      <c r="B29" s="38">
        <f>SUM(HH_hh_gas_aantal,HH_rest_gas_aantal)</f>
        <v>1981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1981</v>
      </c>
      <c r="C32" s="170">
        <f>IF(ISERROR(B32/SUM($B$32,$B$34,$B$35,$B$36,$B$38,$B$39)*100),0,B32/SUM($B$32,$B$34,$B$35,$B$36,$B$38,$B$39)*100)</f>
        <v>39.723280529376382</v>
      </c>
      <c r="D32" s="236"/>
      <c r="G32" s="16"/>
    </row>
    <row r="33" spans="1:7">
      <c r="A33" s="174" t="s">
        <v>72</v>
      </c>
      <c r="B33" s="35" t="s">
        <v>111</v>
      </c>
      <c r="C33" s="170"/>
      <c r="D33" s="236"/>
      <c r="G33" s="16"/>
    </row>
    <row r="34" spans="1:7">
      <c r="A34" s="174" t="s">
        <v>73</v>
      </c>
      <c r="B34" s="34">
        <f>IF((($B$28-$B$32-$B$39-$B$77-$B$38)*C20/100)&lt;0,0,($B$28-$B$32-$B$39-$B$77-$B$38)*C20/100)</f>
        <v>199.05807504078305</v>
      </c>
      <c r="C34" s="170">
        <f>IF(ISERROR(B34/SUM($B$32,$B$34,$B$35,$B$36,$B$38,$B$39)*100),0,B34/SUM($B$32,$B$34,$B$35,$B$36,$B$38,$B$39)*100)</f>
        <v>3.9915395035248253</v>
      </c>
      <c r="D34" s="236"/>
      <c r="G34" s="16"/>
    </row>
    <row r="35" spans="1:7">
      <c r="A35" s="174" t="s">
        <v>74</v>
      </c>
      <c r="B35" s="34">
        <f>IF((($B$28-$B$32-$B$39-$B$77-$B$38)*C21/100)&lt;0,0,($B$28-$B$32-$B$39-$B$77-$B$38)*C21/100)</f>
        <v>919.17993474714501</v>
      </c>
      <c r="C35" s="170">
        <f>IF(ISERROR(B35/SUM($B$32,$B$34,$B$35,$B$36,$B$38,$B$39)*100),0,B35/SUM($B$32,$B$34,$B$35,$B$36,$B$38,$B$39)*100)</f>
        <v>18.431520648629338</v>
      </c>
      <c r="D35" s="236"/>
      <c r="G35" s="16"/>
    </row>
    <row r="36" spans="1:7">
      <c r="A36" s="174" t="s">
        <v>75</v>
      </c>
      <c r="B36" s="34">
        <f>IF((($B$28-$B$32-$B$39-$B$77-$B$38)*C22/100)&lt;0,0,($B$28-$B$32-$B$39-$B$77-$B$38)*C22/100)</f>
        <v>78.061990212071763</v>
      </c>
      <c r="C36" s="170">
        <f>IF(ISERROR(B36/SUM($B$32,$B$34,$B$35,$B$36,$B$38,$B$39)*100),0,B36/SUM($B$32,$B$34,$B$35,$B$36,$B$38,$B$39)*100)</f>
        <v>1.5653096092254213</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1809.7</v>
      </c>
      <c r="C39" s="170">
        <f>IF(ISERROR(B39/SUM($B$32,$B$34,$B$35,$B$36,$B$38,$B$39)*100),0,B39/SUM($B$32,$B$34,$B$35,$B$36,$B$38,$B$39)*100)</f>
        <v>36.288349709244031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1981</v>
      </c>
      <c r="C44" s="35" t="s">
        <v>111</v>
      </c>
      <c r="D44" s="177"/>
    </row>
    <row r="45" spans="1:7">
      <c r="A45" s="174" t="s">
        <v>72</v>
      </c>
      <c r="B45" s="34" t="str">
        <f t="shared" si="0"/>
        <v>-</v>
      </c>
      <c r="C45" s="35" t="s">
        <v>111</v>
      </c>
      <c r="D45" s="177"/>
    </row>
    <row r="46" spans="1:7">
      <c r="A46" s="174" t="s">
        <v>73</v>
      </c>
      <c r="B46" s="34">
        <f t="shared" si="0"/>
        <v>199.05807504078305</v>
      </c>
      <c r="C46" s="35" t="s">
        <v>111</v>
      </c>
      <c r="D46" s="177"/>
    </row>
    <row r="47" spans="1:7">
      <c r="A47" s="174" t="s">
        <v>74</v>
      </c>
      <c r="B47" s="34">
        <f t="shared" si="0"/>
        <v>919.17993474714501</v>
      </c>
      <c r="C47" s="35" t="s">
        <v>111</v>
      </c>
      <c r="D47" s="177"/>
    </row>
    <row r="48" spans="1:7">
      <c r="A48" s="174" t="s">
        <v>75</v>
      </c>
      <c r="B48" s="34">
        <f t="shared" si="0"/>
        <v>78.061990212071763</v>
      </c>
      <c r="C48" s="34">
        <f>B48*10</f>
        <v>780.6199021207176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1809.7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7509.5128384873133</v>
      </c>
      <c r="C5" s="18">
        <f>IF(ISERROR('Eigen informatie GS &amp; warmtenet'!B58),0,'Eigen informatie GS &amp; warmtenet'!B58)</f>
        <v>0</v>
      </c>
      <c r="D5" s="31">
        <f>SUM(D6:D12)</f>
        <v>7483.5837517393429</v>
      </c>
      <c r="E5" s="18">
        <f>SUM(E6:E12)</f>
        <v>118.47606101573659</v>
      </c>
      <c r="F5" s="18">
        <f>SUM(F6:F12)</f>
        <v>1526.1967328730136</v>
      </c>
      <c r="G5" s="19"/>
      <c r="H5" s="18"/>
      <c r="I5" s="18"/>
      <c r="J5" s="18">
        <f>SUM(J6:J12)</f>
        <v>0</v>
      </c>
      <c r="K5" s="18"/>
      <c r="L5" s="18"/>
      <c r="M5" s="18"/>
      <c r="N5" s="18">
        <f>SUM(N6:N12)</f>
        <v>373.58159817012677</v>
      </c>
      <c r="O5" s="18">
        <f>B38*B39*B40</f>
        <v>0</v>
      </c>
      <c r="P5" s="18">
        <f>B46*B47*B48/1000-B46*B47*B48/1000/B49</f>
        <v>0</v>
      </c>
      <c r="R5" s="33"/>
    </row>
    <row r="6" spans="1:18">
      <c r="A6" s="33" t="s">
        <v>54</v>
      </c>
      <c r="B6" s="38">
        <f>B26</f>
        <v>1685.7381062294201</v>
      </c>
      <c r="C6" s="34"/>
      <c r="D6" s="38">
        <f>IF(ISERROR(TER_kantoor_gas_kWh/1000),0,TER_kantoor_gas_kWh/1000)*0.902</f>
        <v>904.76977769444466</v>
      </c>
      <c r="E6" s="34">
        <f>$C$26*'E Balans VL '!I12/100/3.6*1000000</f>
        <v>2.766637890724315</v>
      </c>
      <c r="F6" s="34">
        <f>$C$26*('E Balans VL '!L12+'E Balans VL '!N12)/100/3.6*1000000</f>
        <v>198.70885946070453</v>
      </c>
      <c r="G6" s="35"/>
      <c r="H6" s="34"/>
      <c r="I6" s="34"/>
      <c r="J6" s="34">
        <f>$C$26*('E Balans VL '!D12+'E Balans VL '!E12)/100/3.6*1000000</f>
        <v>0</v>
      </c>
      <c r="K6" s="34"/>
      <c r="L6" s="34"/>
      <c r="M6" s="34"/>
      <c r="N6" s="34">
        <f>$C$26*'E Balans VL '!Y12/100/3.6*1000000</f>
        <v>0.34059540174020475</v>
      </c>
      <c r="O6" s="34"/>
      <c r="P6" s="34"/>
      <c r="R6" s="33"/>
    </row>
    <row r="7" spans="1:18">
      <c r="A7" s="33" t="s">
        <v>53</v>
      </c>
      <c r="B7" s="38">
        <f t="shared" ref="B7:B12" si="0">B27</f>
        <v>1735.54481840063</v>
      </c>
      <c r="C7" s="34"/>
      <c r="D7" s="38">
        <f>IF(ISERROR(TER_horeca_gas_kWh/1000),0,TER_horeca_gas_kWh/1000)*0.902</f>
        <v>1846.2754882863107</v>
      </c>
      <c r="E7" s="34">
        <f>$C$27*'E Balans VL '!I9/100/3.6*1000000</f>
        <v>90.06221740394119</v>
      </c>
      <c r="F7" s="34">
        <f>$C$27*('E Balans VL '!L9+'E Balans VL '!N9)/100/3.6*1000000</f>
        <v>396.05258687658545</v>
      </c>
      <c r="G7" s="35"/>
      <c r="H7" s="34"/>
      <c r="I7" s="34"/>
      <c r="J7" s="34">
        <f>$C$27*('E Balans VL '!D9+'E Balans VL '!E9)/100/3.6*1000000</f>
        <v>0</v>
      </c>
      <c r="K7" s="34"/>
      <c r="L7" s="34"/>
      <c r="M7" s="34"/>
      <c r="N7" s="34">
        <f>$C$27*'E Balans VL '!Y9/100/3.6*1000000</f>
        <v>0.18327273747499453</v>
      </c>
      <c r="O7" s="34"/>
      <c r="P7" s="34"/>
      <c r="R7" s="33"/>
    </row>
    <row r="8" spans="1:18">
      <c r="A8" s="6" t="s">
        <v>52</v>
      </c>
      <c r="B8" s="38">
        <f t="shared" si="0"/>
        <v>1960.0249890026398</v>
      </c>
      <c r="C8" s="34"/>
      <c r="D8" s="38">
        <f>IF(ISERROR(TER_handel_gas_kWh/1000),0,TER_handel_gas_kWh/1000)*0.902</f>
        <v>1086.8297090294564</v>
      </c>
      <c r="E8" s="34">
        <f>$C$28*'E Balans VL '!I13/100/3.6*1000000</f>
        <v>10.554975420838142</v>
      </c>
      <c r="F8" s="34">
        <f>$C$28*('E Balans VL '!L13+'E Balans VL '!N13)/100/3.6*1000000</f>
        <v>399.70734195422006</v>
      </c>
      <c r="G8" s="35"/>
      <c r="H8" s="34"/>
      <c r="I8" s="34"/>
      <c r="J8" s="34">
        <f>$C$28*('E Balans VL '!D13+'E Balans VL '!E13)/100/3.6*1000000</f>
        <v>0</v>
      </c>
      <c r="K8" s="34"/>
      <c r="L8" s="34"/>
      <c r="M8" s="34"/>
      <c r="N8" s="34">
        <f>$C$28*'E Balans VL '!Y13/100/3.6*1000000</f>
        <v>9.7461692107684943</v>
      </c>
      <c r="O8" s="34"/>
      <c r="P8" s="34"/>
      <c r="R8" s="33"/>
    </row>
    <row r="9" spans="1:18">
      <c r="A9" s="33" t="s">
        <v>51</v>
      </c>
      <c r="B9" s="38">
        <f t="shared" si="0"/>
        <v>289.78567488544701</v>
      </c>
      <c r="C9" s="34"/>
      <c r="D9" s="38">
        <f>IF(ISERROR(TER_gezond_gas_kWh/1000),0,TER_gezond_gas_kWh/1000)*0.902</f>
        <v>210.98815282007536</v>
      </c>
      <c r="E9" s="34">
        <f>$C$29*'E Balans VL '!I10/100/3.6*1000000</f>
        <v>0.28718089924053425</v>
      </c>
      <c r="F9" s="34">
        <f>$C$29*('E Balans VL '!L10+'E Balans VL '!N10)/100/3.6*1000000</f>
        <v>100.54727643361949</v>
      </c>
      <c r="G9" s="35"/>
      <c r="H9" s="34"/>
      <c r="I9" s="34"/>
      <c r="J9" s="34">
        <f>$C$29*('E Balans VL '!D10+'E Balans VL '!E10)/100/3.6*1000000</f>
        <v>0</v>
      </c>
      <c r="K9" s="34"/>
      <c r="L9" s="34"/>
      <c r="M9" s="34"/>
      <c r="N9" s="34">
        <f>$C$29*'E Balans VL '!Y10/100/3.6*1000000</f>
        <v>2.4970580564752387</v>
      </c>
      <c r="O9" s="34"/>
      <c r="P9" s="34"/>
      <c r="R9" s="33"/>
    </row>
    <row r="10" spans="1:18">
      <c r="A10" s="33" t="s">
        <v>50</v>
      </c>
      <c r="B10" s="38">
        <f t="shared" si="0"/>
        <v>482.45518946989301</v>
      </c>
      <c r="C10" s="34"/>
      <c r="D10" s="38">
        <f>IF(ISERROR(TER_ander_gas_kWh/1000),0,TER_ander_gas_kWh/1000)*0.902</f>
        <v>345.17305127473708</v>
      </c>
      <c r="E10" s="34">
        <f>$C$30*'E Balans VL '!I14/100/3.6*1000000</f>
        <v>3.9469656294858102</v>
      </c>
      <c r="F10" s="34">
        <f>$C$30*('E Balans VL '!L14+'E Balans VL '!N14)/100/3.6*1000000</f>
        <v>141.05025583674856</v>
      </c>
      <c r="G10" s="35"/>
      <c r="H10" s="34"/>
      <c r="I10" s="34"/>
      <c r="J10" s="34">
        <f>$C$30*('E Balans VL '!D14+'E Balans VL '!E14)/100/3.6*1000000</f>
        <v>0</v>
      </c>
      <c r="K10" s="34"/>
      <c r="L10" s="34"/>
      <c r="M10" s="34"/>
      <c r="N10" s="34">
        <f>$C$30*'E Balans VL '!Y14/100/3.6*1000000</f>
        <v>278.31334085447929</v>
      </c>
      <c r="O10" s="34"/>
      <c r="P10" s="34"/>
      <c r="R10" s="33"/>
    </row>
    <row r="11" spans="1:18">
      <c r="A11" s="33" t="s">
        <v>55</v>
      </c>
      <c r="B11" s="38">
        <f t="shared" si="0"/>
        <v>106.917934532603</v>
      </c>
      <c r="C11" s="34"/>
      <c r="D11" s="38">
        <f>IF(ISERROR(TER_onderwijs_gas_kWh/1000),0,TER_onderwijs_gas_kWh/1000)*0.902</f>
        <v>0</v>
      </c>
      <c r="E11" s="34">
        <f>$C$31*'E Balans VL '!I11/100/3.6*1000000</f>
        <v>6.5899703530346937E-2</v>
      </c>
      <c r="F11" s="34">
        <f>$C$31*('E Balans VL '!L11+'E Balans VL '!N11)/100/3.6*1000000</f>
        <v>41.33620499089789</v>
      </c>
      <c r="G11" s="35"/>
      <c r="H11" s="34"/>
      <c r="I11" s="34"/>
      <c r="J11" s="34">
        <f>$C$31*('E Balans VL '!D11+'E Balans VL '!E11)/100/3.6*1000000</f>
        <v>0</v>
      </c>
      <c r="K11" s="34"/>
      <c r="L11" s="34"/>
      <c r="M11" s="34"/>
      <c r="N11" s="34">
        <f>$C$31*'E Balans VL '!Y11/100/3.6*1000000</f>
        <v>0.34778112901039199</v>
      </c>
      <c r="O11" s="34"/>
      <c r="P11" s="34"/>
      <c r="R11" s="33"/>
    </row>
    <row r="12" spans="1:18">
      <c r="A12" s="33" t="s">
        <v>260</v>
      </c>
      <c r="B12" s="38">
        <f t="shared" si="0"/>
        <v>1249.0461259666799</v>
      </c>
      <c r="C12" s="34"/>
      <c r="D12" s="38">
        <f>IF(ISERROR(TER_rest_gas_kWh/1000),0,TER_rest_gas_kWh/1000)*0.902</f>
        <v>3089.5475726343197</v>
      </c>
      <c r="E12" s="34">
        <f>$C$32*'E Balans VL '!I8/100/3.6*1000000</f>
        <v>10.792184067976237</v>
      </c>
      <c r="F12" s="34">
        <f>$C$32*('E Balans VL '!L8+'E Balans VL '!N8)/100/3.6*1000000</f>
        <v>248.79420732023763</v>
      </c>
      <c r="G12" s="35"/>
      <c r="H12" s="34"/>
      <c r="I12" s="34"/>
      <c r="J12" s="34">
        <f>$C$32*('E Balans VL '!D8+'E Balans VL '!E8)/100/3.6*1000000</f>
        <v>0</v>
      </c>
      <c r="K12" s="34"/>
      <c r="L12" s="34"/>
      <c r="M12" s="34"/>
      <c r="N12" s="34">
        <f>$C$32*'E Balans VL '!Y8/100/3.6*1000000</f>
        <v>82.153380780178196</v>
      </c>
      <c r="O12" s="34"/>
      <c r="P12" s="34"/>
      <c r="R12" s="33"/>
    </row>
    <row r="13" spans="1:18">
      <c r="A13" s="17" t="s">
        <v>502</v>
      </c>
      <c r="B13" s="250">
        <f ca="1">'lokale energieproductie'!N90+'lokale energieproductie'!N59</f>
        <v>40.5</v>
      </c>
      <c r="C13" s="250">
        <f ca="1">'lokale energieproductie'!O90+'lokale energieproductie'!O59</f>
        <v>57.857142857142861</v>
      </c>
      <c r="D13" s="312">
        <f ca="1">('lokale energieproductie'!P59+'lokale energieproductie'!P90)*(-1)</f>
        <v>-115.71428571428572</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7550.0128384873133</v>
      </c>
      <c r="C16" s="22">
        <f t="shared" ca="1" si="1"/>
        <v>57.857142857142861</v>
      </c>
      <c r="D16" s="22">
        <f t="shared" ca="1" si="1"/>
        <v>7367.8694660250576</v>
      </c>
      <c r="E16" s="22">
        <f t="shared" si="1"/>
        <v>118.47606101573659</v>
      </c>
      <c r="F16" s="22">
        <f t="shared" ca="1" si="1"/>
        <v>1526.1967328730136</v>
      </c>
      <c r="G16" s="22">
        <f t="shared" si="1"/>
        <v>0</v>
      </c>
      <c r="H16" s="22">
        <f t="shared" si="1"/>
        <v>0</v>
      </c>
      <c r="I16" s="22">
        <f t="shared" si="1"/>
        <v>0</v>
      </c>
      <c r="J16" s="22">
        <f t="shared" si="1"/>
        <v>0</v>
      </c>
      <c r="K16" s="22">
        <f t="shared" si="1"/>
        <v>0</v>
      </c>
      <c r="L16" s="22">
        <f t="shared" ca="1" si="1"/>
        <v>0</v>
      </c>
      <c r="M16" s="22">
        <f t="shared" si="1"/>
        <v>0</v>
      </c>
      <c r="N16" s="22">
        <f t="shared" ca="1" si="1"/>
        <v>373.58159817012677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0.20890382233567009</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1577.2265406433819</v>
      </c>
      <c r="C20" s="24">
        <f t="shared" ref="C20:P20" ca="1" si="2">C16*C18</f>
        <v>13.749579831932778</v>
      </c>
      <c r="D20" s="24">
        <f t="shared" ca="1" si="2"/>
        <v>1488.3096321370617</v>
      </c>
      <c r="E20" s="24">
        <f t="shared" si="2"/>
        <v>26.894065850572208</v>
      </c>
      <c r="F20" s="24">
        <f t="shared" ca="1" si="2"/>
        <v>407.49452767709465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1685.7381062294201</v>
      </c>
      <c r="C26" s="40">
        <f>IF(ISERROR(B26*3.6/1000000/'E Balans VL '!Z12*100),0,B26*3.6/1000000/'E Balans VL '!Z12*100)</f>
        <v>3.5820725862247653E-2</v>
      </c>
      <c r="D26" s="240" t="s">
        <v>707</v>
      </c>
      <c r="F26" s="6"/>
    </row>
    <row r="27" spans="1:18">
      <c r="A27" s="234" t="s">
        <v>53</v>
      </c>
      <c r="B27" s="34">
        <f>IF(ISERROR(TER_horeca_ele_kWh/1000),0,TER_horeca_ele_kWh/1000)</f>
        <v>1735.54481840063</v>
      </c>
      <c r="C27" s="40">
        <f>IF(ISERROR(B27*3.6/1000000/'E Balans VL '!Z9*100),0,B27*3.6/1000000/'E Balans VL '!Z9*100)</f>
        <v>0.13660079811800835</v>
      </c>
      <c r="D27" s="240" t="s">
        <v>707</v>
      </c>
      <c r="F27" s="6"/>
    </row>
    <row r="28" spans="1:18">
      <c r="A28" s="174" t="s">
        <v>52</v>
      </c>
      <c r="B28" s="34">
        <f>IF(ISERROR(TER_handel_ele_kWh/1000),0,TER_handel_ele_kWh/1000)</f>
        <v>1960.0249890026398</v>
      </c>
      <c r="C28" s="40">
        <f>IF(ISERROR(B28*3.6/1000000/'E Balans VL '!Z13*100),0,B28*3.6/1000000/'E Balans VL '!Z13*100)</f>
        <v>5.4901348905925275E-2</v>
      </c>
      <c r="D28" s="240" t="s">
        <v>707</v>
      </c>
      <c r="F28" s="6"/>
    </row>
    <row r="29" spans="1:18">
      <c r="A29" s="234" t="s">
        <v>51</v>
      </c>
      <c r="B29" s="34">
        <f>IF(ISERROR(TER_gezond_ele_kWh/1000),0,TER_gezond_ele_kWh/1000)</f>
        <v>289.78567488544701</v>
      </c>
      <c r="C29" s="40">
        <f>IF(ISERROR(B29*3.6/1000000/'E Balans VL '!Z10*100),0,B29*3.6/1000000/'E Balans VL '!Z10*100)</f>
        <v>3.7072350583742149E-2</v>
      </c>
      <c r="D29" s="240" t="s">
        <v>707</v>
      </c>
      <c r="F29" s="6"/>
    </row>
    <row r="30" spans="1:18">
      <c r="A30" s="234" t="s">
        <v>50</v>
      </c>
      <c r="B30" s="34">
        <f>IF(ISERROR(TER_ander_ele_kWh/1000),0,TER_ander_ele_kWh/1000)</f>
        <v>482.45518946989301</v>
      </c>
      <c r="C30" s="40">
        <f>IF(ISERROR(B30*3.6/1000000/'E Balans VL '!Z14*100),0,B30*3.6/1000000/'E Balans VL '!Z14*100)</f>
        <v>3.6083582933906275E-2</v>
      </c>
      <c r="D30" s="240" t="s">
        <v>707</v>
      </c>
      <c r="F30" s="6"/>
    </row>
    <row r="31" spans="1:18">
      <c r="A31" s="234" t="s">
        <v>55</v>
      </c>
      <c r="B31" s="34">
        <f>IF(ISERROR(TER_onderwijs_ele_kWh/1000),0,TER_onderwijs_ele_kWh/1000)</f>
        <v>106.917934532603</v>
      </c>
      <c r="C31" s="40">
        <f>IF(ISERROR(B31*3.6/1000000/'E Balans VL '!Z11*100),0,B31*3.6/1000000/'E Balans VL '!Z11*100)</f>
        <v>2.257586037068432E-2</v>
      </c>
      <c r="D31" s="240" t="s">
        <v>707</v>
      </c>
    </row>
    <row r="32" spans="1:18">
      <c r="A32" s="234" t="s">
        <v>260</v>
      </c>
      <c r="B32" s="34">
        <f>IF(ISERROR(TER_rest_ele_kWh/1000),0,TER_rest_ele_kWh/1000)</f>
        <v>1249.0461259666799</v>
      </c>
      <c r="C32" s="40">
        <f>IF(ISERROR(B32*3.6/1000000/'E Balans VL '!Z8*100),0,B32*3.6/1000000/'E Balans VL '!Z8*100)</f>
        <v>1.0289557132314104E-2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1969.0521108003031</v>
      </c>
      <c r="C5" s="18">
        <f>IF(ISERROR('Eigen informatie GS &amp; warmtenet'!B59),0,'Eigen informatie GS &amp; warmtenet'!B59)</f>
        <v>0</v>
      </c>
      <c r="D5" s="31">
        <f>SUM(D6:D15)</f>
        <v>1055.7045032413087</v>
      </c>
      <c r="E5" s="18">
        <f>SUM(E6:E15)</f>
        <v>16.386723328835469</v>
      </c>
      <c r="F5" s="18">
        <f>SUM(F6:F15)</f>
        <v>653.66512734621972</v>
      </c>
      <c r="G5" s="19"/>
      <c r="H5" s="18"/>
      <c r="I5" s="18"/>
      <c r="J5" s="18">
        <f>SUM(J6:J15)</f>
        <v>6.3435435573877319</v>
      </c>
      <c r="K5" s="18"/>
      <c r="L5" s="18"/>
      <c r="M5" s="18"/>
      <c r="N5" s="18">
        <f>SUM(N6:N15)</f>
        <v>76.220693692463556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49.695999999999998</v>
      </c>
      <c r="C8" s="34"/>
      <c r="D8" s="38">
        <f>IF( ISERROR(IND_metaal_Gas_kWH/1000),0,IND_metaal_Gas_kWH/1000)*0.902</f>
        <v>0</v>
      </c>
      <c r="E8" s="34">
        <f>C30*'E Balans VL '!I18/100/3.6*1000000</f>
        <v>0.45257251616683397</v>
      </c>
      <c r="F8" s="34">
        <f>C30*'E Balans VL '!L18/100/3.6*1000000+C30*'E Balans VL '!N18/100/3.6*1000000</f>
        <v>6.5545250020939863</v>
      </c>
      <c r="G8" s="35"/>
      <c r="H8" s="34"/>
      <c r="I8" s="34"/>
      <c r="J8" s="41">
        <f>C30*'E Balans VL '!D18/100/3.6*1000000+C30*'E Balans VL '!E18/100/3.6*1000000</f>
        <v>0.81494224400625936</v>
      </c>
      <c r="K8" s="34"/>
      <c r="L8" s="34"/>
      <c r="M8" s="34"/>
      <c r="N8" s="34">
        <f>C30*'E Balans VL '!Y18/100/3.6*1000000</f>
        <v>0.1707854103146412</v>
      </c>
      <c r="O8" s="34"/>
      <c r="P8" s="34"/>
      <c r="R8" s="33"/>
    </row>
    <row r="9" spans="1:18">
      <c r="A9" s="6" t="s">
        <v>33</v>
      </c>
      <c r="B9" s="38">
        <f t="shared" si="0"/>
        <v>497.27210205591899</v>
      </c>
      <c r="C9" s="34"/>
      <c r="D9" s="38">
        <f>IF( ISERROR(IND_andere_gas_kWh/1000),0,IND_andere_gas_kWh/1000)*0.902</f>
        <v>235.1790934419945</v>
      </c>
      <c r="E9" s="34">
        <f>C31*'E Balans VL '!I19/100/3.6*1000000</f>
        <v>2.8743070610523653</v>
      </c>
      <c r="F9" s="34">
        <f>C31*'E Balans VL '!L19/100/3.6*1000000+C31*'E Balans VL '!N19/100/3.6*1000000</f>
        <v>395.60388497217713</v>
      </c>
      <c r="G9" s="35"/>
      <c r="H9" s="34"/>
      <c r="I9" s="34"/>
      <c r="J9" s="41">
        <f>C31*'E Balans VL '!D19/100/3.6*1000000+C31*'E Balans VL '!E19/100/3.6*1000000</f>
        <v>4.7036417312427976E-2</v>
      </c>
      <c r="K9" s="34"/>
      <c r="L9" s="34"/>
      <c r="M9" s="34"/>
      <c r="N9" s="34">
        <f>C31*'E Balans VL '!Y19/100/3.6*1000000</f>
        <v>37.675887102243365</v>
      </c>
      <c r="O9" s="34"/>
      <c r="P9" s="34"/>
      <c r="R9" s="33"/>
    </row>
    <row r="10" spans="1:18">
      <c r="A10" s="6" t="s">
        <v>41</v>
      </c>
      <c r="B10" s="38">
        <f t="shared" si="0"/>
        <v>332.30366540610402</v>
      </c>
      <c r="C10" s="34"/>
      <c r="D10" s="38">
        <f>IF( ISERROR(IND_voed_gas_kWh/1000),0,IND_voed_gas_kWh/1000)*0.902</f>
        <v>0</v>
      </c>
      <c r="E10" s="34">
        <f>C32*'E Balans VL '!I20/100/3.6*1000000</f>
        <v>3.2674143876131372</v>
      </c>
      <c r="F10" s="34">
        <f>C32*'E Balans VL '!L20/100/3.6*1000000+C32*'E Balans VL '!N20/100/3.6*1000000</f>
        <v>36.906659484922415</v>
      </c>
      <c r="G10" s="35"/>
      <c r="H10" s="34"/>
      <c r="I10" s="34"/>
      <c r="J10" s="41">
        <f>C32*'E Balans VL '!D20/100/3.6*1000000+C32*'E Balans VL '!E20/100/3.6*1000000</f>
        <v>1.3097596021521499E-3</v>
      </c>
      <c r="K10" s="34"/>
      <c r="L10" s="34"/>
      <c r="M10" s="34"/>
      <c r="N10" s="34">
        <f>C32*'E Balans VL '!Y20/100/3.6*1000000</f>
        <v>4.9206356240502975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1089.7803433382801</v>
      </c>
      <c r="C15" s="34"/>
      <c r="D15" s="38">
        <f>IF( ISERROR(IND_rest_gas_kWh/1000),0,IND_rest_gas_kWh/1000)*0.902</f>
        <v>820.52540979931416</v>
      </c>
      <c r="E15" s="34">
        <f>C37*'E Balans VL '!I15/100/3.6*1000000</f>
        <v>9.7924293640031319</v>
      </c>
      <c r="F15" s="34">
        <f>C37*'E Balans VL '!L15/100/3.6*1000000+C37*'E Balans VL '!N15/100/3.6*1000000</f>
        <v>214.6000578870262</v>
      </c>
      <c r="G15" s="35"/>
      <c r="H15" s="34"/>
      <c r="I15" s="34"/>
      <c r="J15" s="41">
        <f>C37*'E Balans VL '!D15/100/3.6*1000000+C37*'E Balans VL '!E15/100/3.6*1000000</f>
        <v>5.4802551364668926</v>
      </c>
      <c r="K15" s="34"/>
      <c r="L15" s="34"/>
      <c r="M15" s="34"/>
      <c r="N15" s="34">
        <f>C37*'E Balans VL '!Y15/100/3.6*1000000</f>
        <v>33.453385555855256</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1969.0521108003031</v>
      </c>
      <c r="C18" s="22">
        <f>C5+C16</f>
        <v>0</v>
      </c>
      <c r="D18" s="22">
        <f>MAX((D5+D16),0)</f>
        <v>1055.7045032413087</v>
      </c>
      <c r="E18" s="22">
        <f>MAX((E5+E16),0)</f>
        <v>16.386723328835469</v>
      </c>
      <c r="F18" s="22">
        <f>MAX((F5+F16),0)</f>
        <v>653.66512734621972</v>
      </c>
      <c r="G18" s="22"/>
      <c r="H18" s="22"/>
      <c r="I18" s="22"/>
      <c r="J18" s="22">
        <f>MAX((J5+J16),0)</f>
        <v>6.3435435573877319</v>
      </c>
      <c r="K18" s="22"/>
      <c r="L18" s="22">
        <f>MAX((L5+L16),0)</f>
        <v>0</v>
      </c>
      <c r="M18" s="22"/>
      <c r="N18" s="22">
        <f>MAX((N5+N16),0)</f>
        <v>76.220693692463556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0.20890382233567009</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411.34251232430273</v>
      </c>
      <c r="C22" s="24">
        <f ca="1">C18*C20</f>
        <v>0</v>
      </c>
      <c r="D22" s="24">
        <f>D18*D20</f>
        <v>213.25230965474435</v>
      </c>
      <c r="E22" s="24">
        <f>E18*E20</f>
        <v>3.7197861956456517</v>
      </c>
      <c r="F22" s="24">
        <f>F18*F20</f>
        <v>174.52858900144068</v>
      </c>
      <c r="G22" s="24"/>
      <c r="H22" s="24"/>
      <c r="I22" s="24"/>
      <c r="J22" s="24">
        <f>J18*J20</f>
        <v>2.245614419315257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49.695999999999998</v>
      </c>
      <c r="C30" s="40">
        <f>IF(ISERROR(B30*3.6/1000000/'E Balans VL '!Z18*100),0,B30*3.6/1000000/'E Balans VL '!Z18*100)</f>
        <v>2.7652500856991699E-3</v>
      </c>
      <c r="D30" s="240" t="s">
        <v>707</v>
      </c>
    </row>
    <row r="31" spans="1:18">
      <c r="A31" s="6" t="s">
        <v>33</v>
      </c>
      <c r="B31" s="38">
        <f>IF( ISERROR(IND_ander_ele_kWh/1000),0,IND_ander_ele_kWh/1000)</f>
        <v>497.27210205591899</v>
      </c>
      <c r="C31" s="40">
        <f>IF(ISERROR(B31*3.6/1000000/'E Balans VL '!Z19*100),0,B31*3.6/1000000/'E Balans VL '!Z19*100)</f>
        <v>2.3116874037507271E-2</v>
      </c>
      <c r="D31" s="240" t="s">
        <v>707</v>
      </c>
    </row>
    <row r="32" spans="1:18">
      <c r="A32" s="174" t="s">
        <v>41</v>
      </c>
      <c r="B32" s="38">
        <f>IF( ISERROR(IND_voed_ele_kWh/1000),0,IND_voed_ele_kWh/1000)</f>
        <v>332.30366540610402</v>
      </c>
      <c r="C32" s="40">
        <f>IF(ISERROR(B32*3.6/1000000/'E Balans VL '!Z20*100),0,B32*3.6/1000000/'E Balans VL '!Z20*100)</f>
        <v>1.1746263456431448E-2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1089.7803433382801</v>
      </c>
      <c r="C37" s="40">
        <f>IF(ISERROR(B37*3.6/1000000/'E Balans VL '!Z15*100),0,B37*3.6/1000000/'E Balans VL '!Z15*100)</f>
        <v>8.2294514412043895E-3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160.4902375028627</v>
      </c>
      <c r="C5" s="18">
        <f>'Eigen informatie GS &amp; warmtenet'!B60</f>
        <v>0</v>
      </c>
      <c r="D5" s="31">
        <f>IF(ISERROR(SUM(LB_lb_gas_kWh,LB_rest_gas_kWh,onbekend_gas_kWh)/1000),0,SUM(LB_lb_gas_kWh,LB_rest_gas_kWh,onbekend_gas_kWh)/1000)*0.902</f>
        <v>1942.4866091229424</v>
      </c>
      <c r="E5" s="18">
        <f>B17*'E Balans VL '!I25/3.6*1000000/100</f>
        <v>1.5119255692634759</v>
      </c>
      <c r="F5" s="18">
        <f>B17*('E Balans VL '!L25/3.6*1000000+'E Balans VL '!N25/3.6*1000000)/100</f>
        <v>523.73290700402276</v>
      </c>
      <c r="G5" s="19"/>
      <c r="H5" s="18"/>
      <c r="I5" s="18"/>
      <c r="J5" s="18">
        <f>('E Balans VL '!D25+'E Balans VL '!E25)/3.6*1000000*landbouw!B17/100</f>
        <v>19.853423003469381</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160.4902375028627</v>
      </c>
      <c r="C8" s="22">
        <f>C5+C6</f>
        <v>0</v>
      </c>
      <c r="D8" s="22">
        <f>MAX((D5+D6),0)</f>
        <v>1942.4866091229424</v>
      </c>
      <c r="E8" s="22">
        <f>MAX((E5+E6),0)</f>
        <v>1.5119255692634759</v>
      </c>
      <c r="F8" s="22">
        <f>MAX((F5+F6),0)</f>
        <v>523.73290700402276</v>
      </c>
      <c r="G8" s="22"/>
      <c r="H8" s="22"/>
      <c r="I8" s="22"/>
      <c r="J8" s="22">
        <f>MAX((J5+J6),0)</f>
        <v>19.853423003469381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0.20890382233567009</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33.527024061907525</v>
      </c>
      <c r="C12" s="24">
        <f ca="1">C8*C10</f>
        <v>0</v>
      </c>
      <c r="D12" s="24">
        <f>D8*D10</f>
        <v>392.38229504283436</v>
      </c>
      <c r="E12" s="24">
        <f>E8*E10</f>
        <v>0.34320710422280903</v>
      </c>
      <c r="F12" s="24">
        <f>F8*F10</f>
        <v>139.83668617007407</v>
      </c>
      <c r="G12" s="24"/>
      <c r="H12" s="24"/>
      <c r="I12" s="24"/>
      <c r="J12" s="24">
        <f>J8*J10</f>
        <v>7.0281117432281608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2.172781360587327E-2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32.774570436719735</v>
      </c>
      <c r="C26" s="250">
        <f>B26*'GWP N2O_CH4'!B5</f>
        <v>688.2659791711144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4.2159873061505886</v>
      </c>
      <c r="C27" s="250">
        <f>B27*'GWP N2O_CH4'!B5</f>
        <v>88.535733429162363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0.47916854840495277</v>
      </c>
      <c r="C28" s="250">
        <f>B28*'GWP N2O_CH4'!B4</f>
        <v>148.54225000553535</v>
      </c>
      <c r="D28" s="51"/>
    </row>
    <row r="29" spans="1:4">
      <c r="A29" s="42" t="s">
        <v>277</v>
      </c>
      <c r="B29" s="250">
        <f>B34*'ha_N2O bodem landbouw'!B4</f>
        <v>3.0610274940479592</v>
      </c>
      <c r="C29" s="250">
        <f>B29*'GWP N2O_CH4'!B4</f>
        <v>948.91852315486733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8.2638106143063689E-4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1.5485470155429876E-5</v>
      </c>
      <c r="C5" s="447" t="s">
        <v>211</v>
      </c>
      <c r="D5" s="432">
        <f>SUM(D6:D11)</f>
        <v>4.2788468751670581E-5</v>
      </c>
      <c r="E5" s="432">
        <f>SUM(E6:E11)</f>
        <v>2.9456184609577591E-3</v>
      </c>
      <c r="F5" s="445" t="s">
        <v>211</v>
      </c>
      <c r="G5" s="432">
        <f>SUM(G6:G11)</f>
        <v>0.59287984825806772</v>
      </c>
      <c r="H5" s="432">
        <f>SUM(H6:H11)</f>
        <v>9.9177951640611439E-2</v>
      </c>
      <c r="I5" s="447" t="s">
        <v>211</v>
      </c>
      <c r="J5" s="447" t="s">
        <v>211</v>
      </c>
      <c r="K5" s="447" t="s">
        <v>211</v>
      </c>
      <c r="L5" s="447" t="s">
        <v>211</v>
      </c>
      <c r="M5" s="432">
        <f>SUM(M6:M11)</f>
        <v>3.0937882894428156E-2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1.416285889224251E-6</v>
      </c>
      <c r="C6" s="433"/>
      <c r="D6" s="433">
        <f>vkm_2011_GW_PW*SUMIFS(TableVerdeelsleutelVkm[CNG],TableVerdeelsleutelVkm[Voertuigtype],"Lichte voertuigen")*SUMIFS(TableECFTransport[EnergieConsumptieFactor (PJ per km)],TableECFTransport[Index],CONCATENATE($A6,"_CNG_CNG"))</f>
        <v>3.4585938601761684E-6</v>
      </c>
      <c r="E6" s="435">
        <f>vkm_2011_GW_PW*SUMIFS(TableVerdeelsleutelVkm[LPG],TableVerdeelsleutelVkm[Voertuigtype],"Lichte voertuigen")*SUMIFS(TableECFTransport[EnergieConsumptieFactor (PJ per km)],TableECFTransport[Index],CONCATENATE($A6,"_LPG_LPG"))</f>
        <v>2.050075704988419E-4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2.9636255917322427E-2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7.7668112420696293E-3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1.6749782293705587E-3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9.3732102704450846E-3</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3.7817249133721158E-6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4.1757361749737698E-4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2.0347164197102254E-6</v>
      </c>
      <c r="C8" s="433"/>
      <c r="D8" s="435">
        <f>vkm_2011_NGW_PW*SUMIFS(TableVerdeelsleutelVkm[CNG],TableVerdeelsleutelVkm[Voertuigtype],"Lichte voertuigen")*SUMIFS(TableECFTransport[EnergieConsumptieFactor (PJ per km)],TableECFTransport[Index],CONCATENATE($A8,"_CNG_CNG"))</f>
        <v>8.9148921676708307E-6</v>
      </c>
      <c r="E8" s="435">
        <f>vkm_2011_NGW_PW*SUMIFS(TableVerdeelsleutelVkm[LPG],TableVerdeelsleutelVkm[Voertuigtype],"Lichte voertuigen")*SUMIFS(TableECFTransport[EnergieConsumptieFactor (PJ per km)],TableECFTransport[Index],CONCATENATE($A8,"_LPG_LPG"))</f>
        <v>4.8478037496050463E-4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6.6204188719722917E-2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1.9170883522153039E-2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3.8249939686017969E-3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1.5252224560437587E-2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5.3579803222395763E-6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6.7944549147343908E-4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1.2034467846495399E-5</v>
      </c>
      <c r="C10" s="433"/>
      <c r="D10" s="435">
        <f>vkm_2011_SW_PW*SUMIFS(TableVerdeelsleutelVkm[CNG],TableVerdeelsleutelVkm[Voertuigtype],"Lichte voertuigen")*SUMIFS(TableECFTransport[EnergieConsumptieFactor (PJ per km)],TableECFTransport[Index],CONCATENATE($A10,"_CNG_CNG"))</f>
        <v>3.0414982723823582E-5</v>
      </c>
      <c r="E10" s="435">
        <f>vkm_2011_SW_PW*SUMIFS(TableVerdeelsleutelVkm[LPG],TableVerdeelsleutelVkm[Voertuigtype],"Lichte voertuigen")*SUMIFS(TableECFTransport[EnergieConsumptieFactor (PJ per km)],TableECFTransport[Index],CONCATENATE($A10,"_LPG_LPG"))</f>
        <v>2.2558305154984125E-3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0.29719305348150504</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7.2156113613983303E-2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1.6534656949512557E-2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0.17522091530863471</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7.5003557169852722E-5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7.8062346379724271E-3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4.3015194876194096</v>
      </c>
      <c r="C14" s="22"/>
      <c r="D14" s="22">
        <f t="shared" ref="D14:M14" si="0">((D5)*10^9/3600)+D12</f>
        <v>11.885685764352939</v>
      </c>
      <c r="E14" s="22">
        <f t="shared" si="0"/>
        <v>818.22735026604414</v>
      </c>
      <c r="F14" s="22"/>
      <c r="G14" s="22">
        <f t="shared" si="0"/>
        <v>164688.84673835215</v>
      </c>
      <c r="H14" s="22">
        <f t="shared" si="0"/>
        <v>27549.431011280954</v>
      </c>
      <c r="I14" s="22"/>
      <c r="J14" s="22"/>
      <c r="K14" s="22"/>
      <c r="L14" s="22"/>
      <c r="M14" s="22">
        <f t="shared" si="0"/>
        <v>8593.8563595633768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0.20890382233567009</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0.89860386281506777</v>
      </c>
      <c r="C18" s="24"/>
      <c r="D18" s="24">
        <f t="shared" ref="D18:M18" si="1">D14*D16</f>
        <v>2.4009085243992936</v>
      </c>
      <c r="E18" s="24">
        <f t="shared" si="1"/>
        <v>185.73760851039202</v>
      </c>
      <c r="F18" s="24"/>
      <c r="G18" s="24">
        <f t="shared" si="1"/>
        <v>43971.922079140029</v>
      </c>
      <c r="H18" s="24">
        <f t="shared" si="1"/>
        <v>6859.8083218089578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5.3276932479573193E-3</v>
      </c>
      <c r="H50" s="323">
        <f t="shared" si="2"/>
        <v>0</v>
      </c>
      <c r="I50" s="323">
        <f t="shared" si="2"/>
        <v>0</v>
      </c>
      <c r="J50" s="323">
        <f t="shared" si="2"/>
        <v>0</v>
      </c>
      <c r="K50" s="323">
        <f t="shared" si="2"/>
        <v>0</v>
      </c>
      <c r="L50" s="323">
        <f t="shared" si="2"/>
        <v>0</v>
      </c>
      <c r="M50" s="323">
        <f t="shared" si="2"/>
        <v>2.3394779909755362E-4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5.3276932479573193E-3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2.3394779909755362E-4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1479.9147910992554</v>
      </c>
      <c r="H54" s="22">
        <f t="shared" si="3"/>
        <v>0</v>
      </c>
      <c r="I54" s="22">
        <f t="shared" si="3"/>
        <v>0</v>
      </c>
      <c r="J54" s="22">
        <f t="shared" si="3"/>
        <v>0</v>
      </c>
      <c r="K54" s="22">
        <f t="shared" si="3"/>
        <v>0</v>
      </c>
      <c r="L54" s="22">
        <f t="shared" si="3"/>
        <v>0</v>
      </c>
      <c r="M54" s="22">
        <f t="shared" si="3"/>
        <v>64.985499749320454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0.20890382233567009</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395.13724922350121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2025.509699856251</v>
      </c>
      <c r="C6" s="1135"/>
      <c r="D6" s="1138"/>
      <c r="E6" s="1138"/>
      <c r="F6" s="1141"/>
      <c r="G6" s="1144"/>
      <c r="H6" s="1132"/>
      <c r="I6" s="1138"/>
      <c r="J6" s="1138"/>
      <c r="K6" s="1138"/>
      <c r="L6" s="1168"/>
      <c r="M6" s="560"/>
      <c r="N6" s="1180"/>
      <c r="O6" s="1181"/>
      <c r="Q6" s="558"/>
      <c r="R6" s="1165"/>
      <c r="S6" s="1165"/>
    </row>
    <row r="7" spans="1:19" s="548" customFormat="1">
      <c r="A7" s="561" t="s">
        <v>252</v>
      </c>
      <c r="B7" s="562">
        <f>N57</f>
        <v>40.5</v>
      </c>
      <c r="C7" s="563">
        <f>B100</f>
        <v>47.647058823529413</v>
      </c>
      <c r="D7" s="564"/>
      <c r="E7" s="564">
        <f>E100</f>
        <v>0</v>
      </c>
      <c r="F7" s="565"/>
      <c r="G7" s="566"/>
      <c r="H7" s="564">
        <f>I100</f>
        <v>0</v>
      </c>
      <c r="I7" s="564">
        <f>G100+F100</f>
        <v>0</v>
      </c>
      <c r="J7" s="564">
        <f>H100+D100+C100</f>
        <v>0</v>
      </c>
      <c r="K7" s="564"/>
      <c r="L7" s="567"/>
      <c r="M7" s="568">
        <f>C7*$C$11+D7*$D$11+E7*$E$11+F7*$F$11+G7*$G$11+H7*$H$11+I7*$I$11+J7*$J$11</f>
        <v>9.6247058823529414</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2066.0096998562512</v>
      </c>
      <c r="C9" s="579">
        <f t="shared" ref="C9:L9" si="0">SUM(C7:C8)</f>
        <v>47.647058823529413</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9.6247058823529414</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57.857142857142861</v>
      </c>
      <c r="C16" s="595">
        <f>B101</f>
        <v>68.067226890756316</v>
      </c>
      <c r="D16" s="596"/>
      <c r="E16" s="596">
        <f>E101</f>
        <v>0</v>
      </c>
      <c r="F16" s="597"/>
      <c r="G16" s="598"/>
      <c r="H16" s="595">
        <f>I101</f>
        <v>0</v>
      </c>
      <c r="I16" s="596">
        <f>G101+F101</f>
        <v>0</v>
      </c>
      <c r="J16" s="596">
        <f>H101+D101+C101</f>
        <v>0</v>
      </c>
      <c r="K16" s="596"/>
      <c r="L16" s="599"/>
      <c r="M16" s="600">
        <f>C16*$C$21+E16*$E$21+H16*$H$21+I16*$I$21+J16*$J$21+D16*$D$21+F16*$F$21+G16*$G$21+K16*$K$21+L16*$L$21</f>
        <v>13.749579831932778</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57.857142857142861</v>
      </c>
      <c r="C19" s="578">
        <f>SUM(C16:C18)</f>
        <v>68.067226890756316</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13.749579831932778</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63.75">
      <c r="A27" s="609"/>
      <c r="B27" s="840">
        <v>23105</v>
      </c>
      <c r="C27" s="840">
        <v>1790</v>
      </c>
      <c r="D27" s="657" t="s">
        <v>877</v>
      </c>
      <c r="E27" s="656" t="s">
        <v>878</v>
      </c>
      <c r="F27" s="656" t="s">
        <v>879</v>
      </c>
      <c r="G27" s="656" t="s">
        <v>880</v>
      </c>
      <c r="H27" s="656" t="s">
        <v>881</v>
      </c>
      <c r="I27" s="656" t="s">
        <v>878</v>
      </c>
      <c r="J27" s="839">
        <v>40884</v>
      </c>
      <c r="K27" s="839">
        <v>40878</v>
      </c>
      <c r="L27" s="656" t="s">
        <v>882</v>
      </c>
      <c r="M27" s="656">
        <v>9</v>
      </c>
      <c r="N27" s="656">
        <v>40.5</v>
      </c>
      <c r="O27" s="656">
        <v>57.857142857142861</v>
      </c>
      <c r="P27" s="656">
        <v>115.71428571428572</v>
      </c>
      <c r="Q27" s="656">
        <v>0</v>
      </c>
      <c r="R27" s="656">
        <v>0</v>
      </c>
      <c r="S27" s="656">
        <v>0</v>
      </c>
      <c r="T27" s="656">
        <v>0</v>
      </c>
      <c r="U27" s="656">
        <v>0</v>
      </c>
      <c r="V27" s="656">
        <v>0</v>
      </c>
      <c r="W27" s="656"/>
      <c r="X27" s="656">
        <v>1600</v>
      </c>
      <c r="Y27" s="656" t="s">
        <v>50</v>
      </c>
      <c r="Z27" s="658" t="s">
        <v>156</v>
      </c>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9</v>
      </c>
      <c r="N57" s="614">
        <f>SUM(N27:N56)</f>
        <v>40.5</v>
      </c>
      <c r="O57" s="614">
        <f t="shared" ref="O57:W57" si="2">SUM(O27:O56)</f>
        <v>57.857142857142861</v>
      </c>
      <c r="P57" s="614">
        <f t="shared" si="2"/>
        <v>115.71428571428572</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9</v>
      </c>
      <c r="N59" s="614">
        <f ca="1">SUMIF($Z$27:AB56,"tertiair",N27:N56)</f>
        <v>40.5</v>
      </c>
      <c r="O59" s="614">
        <f ca="1">SUMIF($Z$27:AC56,"tertiair",O27:O56)</f>
        <v>57.857142857142861</v>
      </c>
      <c r="P59" s="614">
        <f ca="1">SUMIF($Z$27:AD56,"tertiair",P27:P56)</f>
        <v>115.71428571428572</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47.647058823529413</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68.067226890756316</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8399.8088384873136</v>
      </c>
      <c r="D10" s="703">
        <f ca="1">tertiair!C16</f>
        <v>57.857142857142861</v>
      </c>
      <c r="E10" s="703">
        <f ca="1">tertiair!D16</f>
        <v>7367.8694660250576</v>
      </c>
      <c r="F10" s="703">
        <f>tertiair!E16</f>
        <v>118.47606101573659</v>
      </c>
      <c r="G10" s="703">
        <f ca="1">tertiair!F16</f>
        <v>1526.1967328730136</v>
      </c>
      <c r="H10" s="703">
        <f>tertiair!G16</f>
        <v>0</v>
      </c>
      <c r="I10" s="703">
        <f>tertiair!H16</f>
        <v>0</v>
      </c>
      <c r="J10" s="703">
        <f>tertiair!I16</f>
        <v>0</v>
      </c>
      <c r="K10" s="703">
        <f>tertiair!J16</f>
        <v>0</v>
      </c>
      <c r="L10" s="703">
        <f>tertiair!K16</f>
        <v>0</v>
      </c>
      <c r="M10" s="703">
        <f ca="1">tertiair!L16</f>
        <v>0</v>
      </c>
      <c r="N10" s="703">
        <f>tertiair!M16</f>
        <v>0</v>
      </c>
      <c r="O10" s="703">
        <f ca="1">tertiair!N16</f>
        <v>373.58159817012677</v>
      </c>
      <c r="P10" s="703">
        <f>tertiair!O16</f>
        <v>0</v>
      </c>
      <c r="Q10" s="704">
        <f>tertiair!P16</f>
        <v>0</v>
      </c>
      <c r="R10" s="706">
        <f ca="1">SUM(C10:Q10)</f>
        <v>17843.789839428395</v>
      </c>
      <c r="S10" s="68"/>
    </row>
    <row r="11" spans="1:19" s="458" customFormat="1">
      <c r="A11" s="859" t="s">
        <v>225</v>
      </c>
      <c r="B11" s="864"/>
      <c r="C11" s="703">
        <f>huishoudens!B8</f>
        <v>26417.146975171469</v>
      </c>
      <c r="D11" s="703">
        <f>huishoudens!C8</f>
        <v>0</v>
      </c>
      <c r="E11" s="703">
        <f>huishoudens!D8</f>
        <v>33329.859229166781</v>
      </c>
      <c r="F11" s="703">
        <f>huishoudens!E8</f>
        <v>4386.5293377768867</v>
      </c>
      <c r="G11" s="703">
        <f>huishoudens!F8</f>
        <v>35723.268598956231</v>
      </c>
      <c r="H11" s="703">
        <f>huishoudens!G8</f>
        <v>0</v>
      </c>
      <c r="I11" s="703">
        <f>huishoudens!H8</f>
        <v>0</v>
      </c>
      <c r="J11" s="703">
        <f>huishoudens!I8</f>
        <v>0</v>
      </c>
      <c r="K11" s="703">
        <f>huishoudens!J8</f>
        <v>0</v>
      </c>
      <c r="L11" s="703">
        <f>huishoudens!K8</f>
        <v>0</v>
      </c>
      <c r="M11" s="703">
        <f>huishoudens!L8</f>
        <v>0</v>
      </c>
      <c r="N11" s="703">
        <f>huishoudens!M8</f>
        <v>0</v>
      </c>
      <c r="O11" s="703">
        <f>huishoudens!N8</f>
        <v>5586.4471226929472</v>
      </c>
      <c r="P11" s="703">
        <f>huishoudens!O8</f>
        <v>87.546666666666681</v>
      </c>
      <c r="Q11" s="704">
        <f>huishoudens!P8</f>
        <v>610.13333333333333</v>
      </c>
      <c r="R11" s="706">
        <f>SUM(C11:Q11)</f>
        <v>106140.9312637643</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1969.0521108003031</v>
      </c>
      <c r="D13" s="703">
        <f>industrie!C18</f>
        <v>0</v>
      </c>
      <c r="E13" s="703">
        <f>industrie!D18</f>
        <v>1055.7045032413087</v>
      </c>
      <c r="F13" s="703">
        <f>industrie!E18</f>
        <v>16.386723328835469</v>
      </c>
      <c r="G13" s="703">
        <f>industrie!F18</f>
        <v>653.66512734621972</v>
      </c>
      <c r="H13" s="703">
        <f>industrie!G18</f>
        <v>0</v>
      </c>
      <c r="I13" s="703">
        <f>industrie!H18</f>
        <v>0</v>
      </c>
      <c r="J13" s="703">
        <f>industrie!I18</f>
        <v>0</v>
      </c>
      <c r="K13" s="703">
        <f>industrie!J18</f>
        <v>6.3435435573877319</v>
      </c>
      <c r="L13" s="703">
        <f>industrie!K18</f>
        <v>0</v>
      </c>
      <c r="M13" s="703">
        <f>industrie!L18</f>
        <v>0</v>
      </c>
      <c r="N13" s="703">
        <f>industrie!M18</f>
        <v>0</v>
      </c>
      <c r="O13" s="703">
        <f>industrie!N18</f>
        <v>76.220693692463556</v>
      </c>
      <c r="P13" s="703">
        <f>industrie!O18</f>
        <v>0</v>
      </c>
      <c r="Q13" s="704">
        <f>industrie!P18</f>
        <v>0</v>
      </c>
      <c r="R13" s="706">
        <f>SUM(C13:Q13)</f>
        <v>3777.3727019665189</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36786.007924459082</v>
      </c>
      <c r="D15" s="708">
        <f t="shared" ref="D15:Q15" ca="1" si="0">SUM(D9:D14)</f>
        <v>57.857142857142861</v>
      </c>
      <c r="E15" s="708">
        <f t="shared" ca="1" si="0"/>
        <v>41753.433198433144</v>
      </c>
      <c r="F15" s="708">
        <f t="shared" si="0"/>
        <v>4521.3921221214587</v>
      </c>
      <c r="G15" s="708">
        <f t="shared" ca="1" si="0"/>
        <v>37903.130459175467</v>
      </c>
      <c r="H15" s="708">
        <f t="shared" si="0"/>
        <v>0</v>
      </c>
      <c r="I15" s="708">
        <f t="shared" si="0"/>
        <v>0</v>
      </c>
      <c r="J15" s="708">
        <f t="shared" si="0"/>
        <v>0</v>
      </c>
      <c r="K15" s="708">
        <f t="shared" si="0"/>
        <v>6.3435435573877319</v>
      </c>
      <c r="L15" s="708">
        <f t="shared" si="0"/>
        <v>0</v>
      </c>
      <c r="M15" s="708">
        <f t="shared" ca="1" si="0"/>
        <v>0</v>
      </c>
      <c r="N15" s="708">
        <f t="shared" si="0"/>
        <v>0</v>
      </c>
      <c r="O15" s="708">
        <f t="shared" ca="1" si="0"/>
        <v>6036.2494145555374</v>
      </c>
      <c r="P15" s="708">
        <f t="shared" si="0"/>
        <v>87.546666666666681</v>
      </c>
      <c r="Q15" s="709">
        <f t="shared" si="0"/>
        <v>610.13333333333333</v>
      </c>
      <c r="R15" s="710">
        <f ca="1">SUM(R9:R14)</f>
        <v>127762.09380515922</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1479.9147910992554</v>
      </c>
      <c r="I18" s="703">
        <f>transport!H54</f>
        <v>0</v>
      </c>
      <c r="J18" s="703">
        <f>transport!I54</f>
        <v>0</v>
      </c>
      <c r="K18" s="703">
        <f>transport!J54</f>
        <v>0</v>
      </c>
      <c r="L18" s="703">
        <f>transport!K54</f>
        <v>0</v>
      </c>
      <c r="M18" s="703">
        <f>transport!L54</f>
        <v>0</v>
      </c>
      <c r="N18" s="703">
        <f>transport!M54</f>
        <v>64.985499749320454</v>
      </c>
      <c r="O18" s="703">
        <f>transport!N54</f>
        <v>0</v>
      </c>
      <c r="P18" s="703">
        <f>transport!O54</f>
        <v>0</v>
      </c>
      <c r="Q18" s="704">
        <f>transport!P54</f>
        <v>0</v>
      </c>
      <c r="R18" s="706">
        <f>SUM(C18:Q18)</f>
        <v>1544.9002908485759</v>
      </c>
      <c r="S18" s="68"/>
    </row>
    <row r="19" spans="1:19" s="458" customFormat="1" ht="15" thickBot="1">
      <c r="A19" s="859" t="s">
        <v>307</v>
      </c>
      <c r="B19" s="864"/>
      <c r="C19" s="712">
        <f>transport!B14</f>
        <v>4.3015194876194096</v>
      </c>
      <c r="D19" s="712">
        <f>transport!C14</f>
        <v>0</v>
      </c>
      <c r="E19" s="712">
        <f>transport!D14</f>
        <v>11.885685764352939</v>
      </c>
      <c r="F19" s="712">
        <f>transport!E14</f>
        <v>818.22735026604414</v>
      </c>
      <c r="G19" s="712">
        <f>transport!F14</f>
        <v>0</v>
      </c>
      <c r="H19" s="712">
        <f>transport!G14</f>
        <v>164688.84673835215</v>
      </c>
      <c r="I19" s="712">
        <f>transport!H14</f>
        <v>27549.431011280954</v>
      </c>
      <c r="J19" s="712">
        <f>transport!I14</f>
        <v>0</v>
      </c>
      <c r="K19" s="712">
        <f>transport!J14</f>
        <v>0</v>
      </c>
      <c r="L19" s="712">
        <f>transport!K14</f>
        <v>0</v>
      </c>
      <c r="M19" s="712">
        <f>transport!L14</f>
        <v>0</v>
      </c>
      <c r="N19" s="712">
        <f>transport!M14</f>
        <v>8593.8563595633768</v>
      </c>
      <c r="O19" s="712">
        <f>transport!N14</f>
        <v>0</v>
      </c>
      <c r="P19" s="712">
        <f>transport!O14</f>
        <v>0</v>
      </c>
      <c r="Q19" s="713">
        <f>transport!P14</f>
        <v>0</v>
      </c>
      <c r="R19" s="714">
        <f>SUM(C19:Q19)</f>
        <v>201666.5486647145</v>
      </c>
      <c r="S19" s="68"/>
    </row>
    <row r="20" spans="1:19" s="458" customFormat="1" ht="15.75" thickBot="1">
      <c r="A20" s="715" t="s">
        <v>230</v>
      </c>
      <c r="B20" s="867"/>
      <c r="C20" s="862">
        <f>SUM(C17:C19)</f>
        <v>4.3015194876194096</v>
      </c>
      <c r="D20" s="716">
        <f t="shared" ref="D20:R20" si="1">SUM(D17:D19)</f>
        <v>0</v>
      </c>
      <c r="E20" s="716">
        <f t="shared" si="1"/>
        <v>11.885685764352939</v>
      </c>
      <c r="F20" s="716">
        <f t="shared" si="1"/>
        <v>818.22735026604414</v>
      </c>
      <c r="G20" s="716">
        <f t="shared" si="1"/>
        <v>0</v>
      </c>
      <c r="H20" s="716">
        <f t="shared" si="1"/>
        <v>166168.76152945141</v>
      </c>
      <c r="I20" s="716">
        <f t="shared" si="1"/>
        <v>27549.431011280954</v>
      </c>
      <c r="J20" s="716">
        <f t="shared" si="1"/>
        <v>0</v>
      </c>
      <c r="K20" s="716">
        <f t="shared" si="1"/>
        <v>0</v>
      </c>
      <c r="L20" s="716">
        <f t="shared" si="1"/>
        <v>0</v>
      </c>
      <c r="M20" s="716">
        <f t="shared" si="1"/>
        <v>0</v>
      </c>
      <c r="N20" s="716">
        <f t="shared" si="1"/>
        <v>8658.8418593126971</v>
      </c>
      <c r="O20" s="716">
        <f t="shared" si="1"/>
        <v>0</v>
      </c>
      <c r="P20" s="716">
        <f t="shared" si="1"/>
        <v>0</v>
      </c>
      <c r="Q20" s="717">
        <f t="shared" si="1"/>
        <v>0</v>
      </c>
      <c r="R20" s="718">
        <f t="shared" si="1"/>
        <v>203211.44895556307</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160.4902375028627</v>
      </c>
      <c r="D22" s="712">
        <f>+landbouw!C8</f>
        <v>0</v>
      </c>
      <c r="E22" s="712">
        <f>+landbouw!D8</f>
        <v>1942.4866091229424</v>
      </c>
      <c r="F22" s="712">
        <f>+landbouw!E8</f>
        <v>1.5119255692634759</v>
      </c>
      <c r="G22" s="712">
        <f>+landbouw!F8</f>
        <v>523.73290700402276</v>
      </c>
      <c r="H22" s="712">
        <f>+landbouw!G8</f>
        <v>0</v>
      </c>
      <c r="I22" s="712">
        <f>+landbouw!H8</f>
        <v>0</v>
      </c>
      <c r="J22" s="712">
        <f>+landbouw!I8</f>
        <v>0</v>
      </c>
      <c r="K22" s="712">
        <f>+landbouw!J8</f>
        <v>19.853423003469381</v>
      </c>
      <c r="L22" s="712">
        <f>+landbouw!K8</f>
        <v>0</v>
      </c>
      <c r="M22" s="712">
        <f>+landbouw!L8</f>
        <v>0</v>
      </c>
      <c r="N22" s="712">
        <f>+landbouw!M8</f>
        <v>0</v>
      </c>
      <c r="O22" s="712">
        <f>+landbouw!N8</f>
        <v>0</v>
      </c>
      <c r="P22" s="712">
        <f>+landbouw!O8</f>
        <v>0</v>
      </c>
      <c r="Q22" s="713">
        <f>+landbouw!P8</f>
        <v>0</v>
      </c>
      <c r="R22" s="714">
        <f>SUM(C22:Q22)</f>
        <v>2648.0751022025606</v>
      </c>
      <c r="S22" s="68"/>
    </row>
    <row r="23" spans="1:19" s="458" customFormat="1" ht="17.25" thickTop="1" thickBot="1">
      <c r="A23" s="719" t="s">
        <v>116</v>
      </c>
      <c r="B23" s="853"/>
      <c r="C23" s="720">
        <f ca="1">C20+C15+C22</f>
        <v>36950.799681449564</v>
      </c>
      <c r="D23" s="720">
        <f t="shared" ref="D23:Q23" ca="1" si="2">D20+D15+D22</f>
        <v>57.857142857142861</v>
      </c>
      <c r="E23" s="720">
        <f t="shared" ca="1" si="2"/>
        <v>43707.80549332044</v>
      </c>
      <c r="F23" s="720">
        <f t="shared" si="2"/>
        <v>5341.1313979567667</v>
      </c>
      <c r="G23" s="720">
        <f t="shared" ca="1" si="2"/>
        <v>38426.863366179488</v>
      </c>
      <c r="H23" s="720">
        <f t="shared" si="2"/>
        <v>166168.76152945141</v>
      </c>
      <c r="I23" s="720">
        <f t="shared" si="2"/>
        <v>27549.431011280954</v>
      </c>
      <c r="J23" s="720">
        <f t="shared" si="2"/>
        <v>0</v>
      </c>
      <c r="K23" s="720">
        <f t="shared" si="2"/>
        <v>26.196966560857113</v>
      </c>
      <c r="L23" s="720">
        <f t="shared" si="2"/>
        <v>0</v>
      </c>
      <c r="M23" s="720">
        <f t="shared" ca="1" si="2"/>
        <v>0</v>
      </c>
      <c r="N23" s="720">
        <f t="shared" si="2"/>
        <v>8658.8418593126971</v>
      </c>
      <c r="O23" s="720">
        <f t="shared" ca="1" si="2"/>
        <v>6036.2494145555374</v>
      </c>
      <c r="P23" s="720">
        <f t="shared" si="2"/>
        <v>87.546666666666681</v>
      </c>
      <c r="Q23" s="721">
        <f t="shared" si="2"/>
        <v>610.13333333333333</v>
      </c>
      <c r="R23" s="722">
        <f ca="1">R20+R15+R22</f>
        <v>333621.61786292482</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1754.7521732489449</v>
      </c>
      <c r="D36" s="703">
        <f ca="1">tertiair!C20</f>
        <v>13.749579831932778</v>
      </c>
      <c r="E36" s="703">
        <f ca="1">tertiair!D20</f>
        <v>1488.3096321370617</v>
      </c>
      <c r="F36" s="703">
        <f>tertiair!E20</f>
        <v>26.894065850572208</v>
      </c>
      <c r="G36" s="703">
        <f ca="1">tertiair!F20</f>
        <v>407.49452767709465</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3691.1999787456061</v>
      </c>
    </row>
    <row r="37" spans="1:18">
      <c r="A37" s="874" t="s">
        <v>225</v>
      </c>
      <c r="B37" s="881"/>
      <c r="C37" s="703">
        <f ca="1">huishoudens!B12</f>
        <v>5518.6429783165049</v>
      </c>
      <c r="D37" s="703">
        <f ca="1">huishoudens!C12</f>
        <v>0</v>
      </c>
      <c r="E37" s="703">
        <f>huishoudens!D12</f>
        <v>6732.6315642916898</v>
      </c>
      <c r="F37" s="703">
        <f>huishoudens!E12</f>
        <v>995.74215967535326</v>
      </c>
      <c r="G37" s="703">
        <f>huishoudens!F12</f>
        <v>9538.1127159213138</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22785.129418204862</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411.34251232430273</v>
      </c>
      <c r="D39" s="703">
        <f ca="1">industrie!C22</f>
        <v>0</v>
      </c>
      <c r="E39" s="703">
        <f>industrie!D22</f>
        <v>213.25230965474435</v>
      </c>
      <c r="F39" s="703">
        <f>industrie!E22</f>
        <v>3.7197861956456517</v>
      </c>
      <c r="G39" s="703">
        <f>industrie!F22</f>
        <v>174.52858900144068</v>
      </c>
      <c r="H39" s="703">
        <f>industrie!G22</f>
        <v>0</v>
      </c>
      <c r="I39" s="703">
        <f>industrie!H22</f>
        <v>0</v>
      </c>
      <c r="J39" s="703">
        <f>industrie!I22</f>
        <v>0</v>
      </c>
      <c r="K39" s="703">
        <f>industrie!J22</f>
        <v>2.245614419315257</v>
      </c>
      <c r="L39" s="703">
        <f>industrie!K22</f>
        <v>0</v>
      </c>
      <c r="M39" s="703">
        <f>industrie!L22</f>
        <v>0</v>
      </c>
      <c r="N39" s="703">
        <f>industrie!M22</f>
        <v>0</v>
      </c>
      <c r="O39" s="703">
        <f>industrie!N22</f>
        <v>0</v>
      </c>
      <c r="P39" s="703">
        <f>industrie!O22</f>
        <v>0</v>
      </c>
      <c r="Q39" s="813">
        <f>industrie!P22</f>
        <v>0</v>
      </c>
      <c r="R39" s="907">
        <f ca="1">SUM(C39:Q39)</f>
        <v>805.08881159544865</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7684.7376638897522</v>
      </c>
      <c r="D41" s="748">
        <f t="shared" ref="D41:R41" ca="1" si="4">SUM(D35:D40)</f>
        <v>13.749579831932778</v>
      </c>
      <c r="E41" s="748">
        <f t="shared" ca="1" si="4"/>
        <v>8434.1935060834967</v>
      </c>
      <c r="F41" s="748">
        <f t="shared" si="4"/>
        <v>1026.3560117215711</v>
      </c>
      <c r="G41" s="748">
        <f t="shared" ca="1" si="4"/>
        <v>10120.135832599848</v>
      </c>
      <c r="H41" s="748">
        <f t="shared" si="4"/>
        <v>0</v>
      </c>
      <c r="I41" s="748">
        <f t="shared" si="4"/>
        <v>0</v>
      </c>
      <c r="J41" s="748">
        <f t="shared" si="4"/>
        <v>0</v>
      </c>
      <c r="K41" s="748">
        <f t="shared" si="4"/>
        <v>2.245614419315257</v>
      </c>
      <c r="L41" s="748">
        <f t="shared" si="4"/>
        <v>0</v>
      </c>
      <c r="M41" s="748">
        <f t="shared" ca="1" si="4"/>
        <v>0</v>
      </c>
      <c r="N41" s="748">
        <f t="shared" si="4"/>
        <v>0</v>
      </c>
      <c r="O41" s="748">
        <f t="shared" ca="1" si="4"/>
        <v>0</v>
      </c>
      <c r="P41" s="748">
        <f t="shared" si="4"/>
        <v>0</v>
      </c>
      <c r="Q41" s="749">
        <f t="shared" si="4"/>
        <v>0</v>
      </c>
      <c r="R41" s="750">
        <f t="shared" ca="1" si="4"/>
        <v>27281.418208545914</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395.13724922350121</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395.13724922350121</v>
      </c>
    </row>
    <row r="45" spans="1:18" ht="15" thickBot="1">
      <c r="A45" s="877" t="s">
        <v>307</v>
      </c>
      <c r="B45" s="887"/>
      <c r="C45" s="712">
        <f ca="1">transport!B18</f>
        <v>0.89860386281506777</v>
      </c>
      <c r="D45" s="712">
        <f>transport!C18</f>
        <v>0</v>
      </c>
      <c r="E45" s="712">
        <f>transport!D18</f>
        <v>2.4009085243992936</v>
      </c>
      <c r="F45" s="712">
        <f>transport!E18</f>
        <v>185.73760851039202</v>
      </c>
      <c r="G45" s="712">
        <f>transport!F18</f>
        <v>0</v>
      </c>
      <c r="H45" s="712">
        <f>transport!G18</f>
        <v>43971.922079140029</v>
      </c>
      <c r="I45" s="712">
        <f>transport!H18</f>
        <v>6859.8083218089578</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51020.767521846596</v>
      </c>
    </row>
    <row r="46" spans="1:18" ht="15.75" thickBot="1">
      <c r="A46" s="875" t="s">
        <v>230</v>
      </c>
      <c r="B46" s="888"/>
      <c r="C46" s="748">
        <f t="shared" ref="C46:R46" ca="1" si="5">SUM(C43:C45)</f>
        <v>0.89860386281506777</v>
      </c>
      <c r="D46" s="748">
        <f t="shared" ca="1" si="5"/>
        <v>0</v>
      </c>
      <c r="E46" s="748">
        <f t="shared" si="5"/>
        <v>2.4009085243992936</v>
      </c>
      <c r="F46" s="748">
        <f t="shared" si="5"/>
        <v>185.73760851039202</v>
      </c>
      <c r="G46" s="748">
        <f t="shared" si="5"/>
        <v>0</v>
      </c>
      <c r="H46" s="748">
        <f t="shared" si="5"/>
        <v>44367.059328363532</v>
      </c>
      <c r="I46" s="748">
        <f t="shared" si="5"/>
        <v>6859.8083218089578</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51415.904771070098</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33.527024061907525</v>
      </c>
      <c r="D48" s="703">
        <f ca="1">+landbouw!C12</f>
        <v>0</v>
      </c>
      <c r="E48" s="703">
        <f>+landbouw!D12</f>
        <v>392.38229504283436</v>
      </c>
      <c r="F48" s="703">
        <f>+landbouw!E12</f>
        <v>0.34320710422280903</v>
      </c>
      <c r="G48" s="703">
        <f>+landbouw!F12</f>
        <v>139.83668617007407</v>
      </c>
      <c r="H48" s="703">
        <f>+landbouw!G12</f>
        <v>0</v>
      </c>
      <c r="I48" s="703">
        <f>+landbouw!H12</f>
        <v>0</v>
      </c>
      <c r="J48" s="703">
        <f>+landbouw!I12</f>
        <v>0</v>
      </c>
      <c r="K48" s="703">
        <f>+landbouw!J12</f>
        <v>7.0281117432281608</v>
      </c>
      <c r="L48" s="703">
        <f>+landbouw!K12</f>
        <v>0</v>
      </c>
      <c r="M48" s="703">
        <f>+landbouw!L12</f>
        <v>0</v>
      </c>
      <c r="N48" s="703">
        <f>+landbouw!M12</f>
        <v>0</v>
      </c>
      <c r="O48" s="703">
        <f>+landbouw!N12</f>
        <v>0</v>
      </c>
      <c r="P48" s="703">
        <f>+landbouw!O12</f>
        <v>0</v>
      </c>
      <c r="Q48" s="704">
        <f>+landbouw!P12</f>
        <v>0</v>
      </c>
      <c r="R48" s="746">
        <f ca="1">SUM(C48:Q48)</f>
        <v>573.11732412226695</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7719.1632918144751</v>
      </c>
      <c r="D53" s="758">
        <f t="shared" ref="D53:Q53" ca="1" si="6">D41+D46+D48</f>
        <v>13.749579831932778</v>
      </c>
      <c r="E53" s="758">
        <f t="shared" ca="1" si="6"/>
        <v>8828.9767096507312</v>
      </c>
      <c r="F53" s="758">
        <f t="shared" si="6"/>
        <v>1212.4368273361858</v>
      </c>
      <c r="G53" s="758">
        <f t="shared" ca="1" si="6"/>
        <v>10259.972518769922</v>
      </c>
      <c r="H53" s="758">
        <f t="shared" si="6"/>
        <v>44367.059328363532</v>
      </c>
      <c r="I53" s="758">
        <f t="shared" si="6"/>
        <v>6859.8083218089578</v>
      </c>
      <c r="J53" s="758">
        <f t="shared" si="6"/>
        <v>0</v>
      </c>
      <c r="K53" s="758">
        <f t="shared" si="6"/>
        <v>9.2737261625434186</v>
      </c>
      <c r="L53" s="758">
        <f t="shared" si="6"/>
        <v>0</v>
      </c>
      <c r="M53" s="758">
        <f t="shared" ca="1" si="6"/>
        <v>0</v>
      </c>
      <c r="N53" s="758">
        <f t="shared" si="6"/>
        <v>0</v>
      </c>
      <c r="O53" s="758">
        <f t="shared" ca="1" si="6"/>
        <v>0</v>
      </c>
      <c r="P53" s="758">
        <f>P41+P46+P48</f>
        <v>0</v>
      </c>
      <c r="Q53" s="759">
        <f t="shared" si="6"/>
        <v>0</v>
      </c>
      <c r="R53" s="760">
        <f ca="1">R41+R46+R48</f>
        <v>79270.440303738287</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0.20890382233567009</v>
      </c>
      <c r="D55" s="824">
        <f t="shared" ca="1" si="7"/>
        <v>0.23764705882352946</v>
      </c>
      <c r="E55" s="824">
        <f t="shared" ca="1" si="7"/>
        <v>0.20200000000000004</v>
      </c>
      <c r="F55" s="824">
        <f t="shared" si="7"/>
        <v>0.22699999999999995</v>
      </c>
      <c r="G55" s="824">
        <f t="shared" ca="1" si="7"/>
        <v>0.26699999999999996</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2025.509699856251</v>
      </c>
      <c r="C66" s="780">
        <f>'lokale energieproductie'!B6</f>
        <v>2025.509699856251</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40.5</v>
      </c>
      <c r="C67" s="779">
        <f>B67*IFERROR(SUM(J67:L67)/SUM(D67:M67),0)</f>
        <v>0</v>
      </c>
      <c r="D67" s="811">
        <f>'lokale energieproductie'!C7</f>
        <v>47.647058823529413</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9.6247058823529414</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2066.0096998562512</v>
      </c>
      <c r="C69" s="788">
        <f>SUM(C64:C68)</f>
        <v>2025.509699856251</v>
      </c>
      <c r="D69" s="789">
        <f t="shared" ref="D69:M69" si="8">SUM(D67:D68)</f>
        <v>47.647058823529413</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9.6247058823529414</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57.857142857142861</v>
      </c>
      <c r="C78" s="802">
        <f>B78*IFERROR(SUM(I78:L78)/SUM(D78:M78),0)</f>
        <v>0</v>
      </c>
      <c r="D78" s="817">
        <f>'lokale energieproductie'!C16</f>
        <v>68.067226890756316</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13.749579831932778</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57.857142857142861</v>
      </c>
      <c r="C81" s="788">
        <f>SUM(C78:C80)</f>
        <v>0</v>
      </c>
      <c r="D81" s="788">
        <f t="shared" ref="D81:P81" si="9">SUM(D78:D80)</f>
        <v>68.067226890756316</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13.749579831932778</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26417.146975171469</v>
      </c>
      <c r="C4" s="462">
        <f>huishoudens!C8</f>
        <v>0</v>
      </c>
      <c r="D4" s="462">
        <f>huishoudens!D8</f>
        <v>33329.859229166781</v>
      </c>
      <c r="E4" s="462">
        <f>huishoudens!E8</f>
        <v>4386.5293377768867</v>
      </c>
      <c r="F4" s="462">
        <f>huishoudens!F8</f>
        <v>35723.268598956231</v>
      </c>
      <c r="G4" s="462">
        <f>huishoudens!G8</f>
        <v>0</v>
      </c>
      <c r="H4" s="462">
        <f>huishoudens!H8</f>
        <v>0</v>
      </c>
      <c r="I4" s="462">
        <f>huishoudens!I8</f>
        <v>0</v>
      </c>
      <c r="J4" s="462">
        <f>huishoudens!J8</f>
        <v>0</v>
      </c>
      <c r="K4" s="462">
        <f>huishoudens!K8</f>
        <v>0</v>
      </c>
      <c r="L4" s="462">
        <f>huishoudens!L8</f>
        <v>0</v>
      </c>
      <c r="M4" s="462">
        <f>huishoudens!M8</f>
        <v>0</v>
      </c>
      <c r="N4" s="462">
        <f>huishoudens!N8</f>
        <v>5586.4471226929472</v>
      </c>
      <c r="O4" s="462">
        <f>huishoudens!O8</f>
        <v>87.546666666666681</v>
      </c>
      <c r="P4" s="463">
        <f>huishoudens!P8</f>
        <v>610.13333333333333</v>
      </c>
      <c r="Q4" s="464">
        <f>SUM(B4:P4)</f>
        <v>106140.9312637643</v>
      </c>
    </row>
    <row r="5" spans="1:17">
      <c r="A5" s="461" t="s">
        <v>156</v>
      </c>
      <c r="B5" s="462">
        <f ca="1">tertiair!B16</f>
        <v>7550.0128384873133</v>
      </c>
      <c r="C5" s="462">
        <f ca="1">tertiair!C16</f>
        <v>57.857142857142861</v>
      </c>
      <c r="D5" s="462">
        <f ca="1">tertiair!D16</f>
        <v>7367.8694660250576</v>
      </c>
      <c r="E5" s="462">
        <f>tertiair!E16</f>
        <v>118.47606101573659</v>
      </c>
      <c r="F5" s="462">
        <f ca="1">tertiair!F16</f>
        <v>1526.1967328730136</v>
      </c>
      <c r="G5" s="462">
        <f>tertiair!G16</f>
        <v>0</v>
      </c>
      <c r="H5" s="462">
        <f>tertiair!H16</f>
        <v>0</v>
      </c>
      <c r="I5" s="462">
        <f>tertiair!I16</f>
        <v>0</v>
      </c>
      <c r="J5" s="462">
        <f>tertiair!J16</f>
        <v>0</v>
      </c>
      <c r="K5" s="462">
        <f>tertiair!K16</f>
        <v>0</v>
      </c>
      <c r="L5" s="462">
        <f ca="1">tertiair!L16</f>
        <v>0</v>
      </c>
      <c r="M5" s="462">
        <f>tertiair!M16</f>
        <v>0</v>
      </c>
      <c r="N5" s="462">
        <f ca="1">tertiair!N16</f>
        <v>373.58159817012677</v>
      </c>
      <c r="O5" s="462">
        <f>tertiair!O16</f>
        <v>0</v>
      </c>
      <c r="P5" s="463">
        <f>tertiair!P16</f>
        <v>0</v>
      </c>
      <c r="Q5" s="461">
        <f t="shared" ref="Q5:Q13" ca="1" si="0">SUM(B5:P5)</f>
        <v>16993.993839428393</v>
      </c>
    </row>
    <row r="6" spans="1:17">
      <c r="A6" s="461" t="s">
        <v>194</v>
      </c>
      <c r="B6" s="462">
        <f>'openbare verlichting'!B8</f>
        <v>849.79600000000005</v>
      </c>
      <c r="C6" s="462"/>
      <c r="D6" s="462"/>
      <c r="E6" s="462"/>
      <c r="F6" s="462"/>
      <c r="G6" s="462"/>
      <c r="H6" s="462"/>
      <c r="I6" s="462"/>
      <c r="J6" s="462"/>
      <c r="K6" s="462"/>
      <c r="L6" s="462"/>
      <c r="M6" s="462"/>
      <c r="N6" s="462"/>
      <c r="O6" s="462"/>
      <c r="P6" s="463"/>
      <c r="Q6" s="461">
        <f t="shared" si="0"/>
        <v>849.79600000000005</v>
      </c>
    </row>
    <row r="7" spans="1:17">
      <c r="A7" s="461" t="s">
        <v>112</v>
      </c>
      <c r="B7" s="462">
        <f>landbouw!B8</f>
        <v>160.4902375028627</v>
      </c>
      <c r="C7" s="462">
        <f>landbouw!C8</f>
        <v>0</v>
      </c>
      <c r="D7" s="462">
        <f>landbouw!D8</f>
        <v>1942.4866091229424</v>
      </c>
      <c r="E7" s="462">
        <f>landbouw!E8</f>
        <v>1.5119255692634759</v>
      </c>
      <c r="F7" s="462">
        <f>landbouw!F8</f>
        <v>523.73290700402276</v>
      </c>
      <c r="G7" s="462">
        <f>landbouw!G8</f>
        <v>0</v>
      </c>
      <c r="H7" s="462">
        <f>landbouw!H8</f>
        <v>0</v>
      </c>
      <c r="I7" s="462">
        <f>landbouw!I8</f>
        <v>0</v>
      </c>
      <c r="J7" s="462">
        <f>landbouw!J8</f>
        <v>19.853423003469381</v>
      </c>
      <c r="K7" s="462">
        <f>landbouw!K8</f>
        <v>0</v>
      </c>
      <c r="L7" s="462">
        <f>landbouw!L8</f>
        <v>0</v>
      </c>
      <c r="M7" s="462">
        <f>landbouw!M8</f>
        <v>0</v>
      </c>
      <c r="N7" s="462">
        <f>landbouw!N8</f>
        <v>0</v>
      </c>
      <c r="O7" s="462">
        <f>landbouw!O8</f>
        <v>0</v>
      </c>
      <c r="P7" s="463">
        <f>landbouw!P8</f>
        <v>0</v>
      </c>
      <c r="Q7" s="461">
        <f t="shared" si="0"/>
        <v>2648.0751022025606</v>
      </c>
    </row>
    <row r="8" spans="1:17">
      <c r="A8" s="461" t="s">
        <v>685</v>
      </c>
      <c r="B8" s="462">
        <f>industrie!B18</f>
        <v>1969.0521108003031</v>
      </c>
      <c r="C8" s="462">
        <f>industrie!C18</f>
        <v>0</v>
      </c>
      <c r="D8" s="462">
        <f>industrie!D18</f>
        <v>1055.7045032413087</v>
      </c>
      <c r="E8" s="462">
        <f>industrie!E18</f>
        <v>16.386723328835469</v>
      </c>
      <c r="F8" s="462">
        <f>industrie!F18</f>
        <v>653.66512734621972</v>
      </c>
      <c r="G8" s="462">
        <f>industrie!G18</f>
        <v>0</v>
      </c>
      <c r="H8" s="462">
        <f>industrie!H18</f>
        <v>0</v>
      </c>
      <c r="I8" s="462">
        <f>industrie!I18</f>
        <v>0</v>
      </c>
      <c r="J8" s="462">
        <f>industrie!J18</f>
        <v>6.3435435573877319</v>
      </c>
      <c r="K8" s="462">
        <f>industrie!K18</f>
        <v>0</v>
      </c>
      <c r="L8" s="462">
        <f>industrie!L18</f>
        <v>0</v>
      </c>
      <c r="M8" s="462">
        <f>industrie!M18</f>
        <v>0</v>
      </c>
      <c r="N8" s="462">
        <f>industrie!N18</f>
        <v>76.220693692463556</v>
      </c>
      <c r="O8" s="462">
        <f>industrie!O18</f>
        <v>0</v>
      </c>
      <c r="P8" s="463">
        <f>industrie!P18</f>
        <v>0</v>
      </c>
      <c r="Q8" s="461">
        <f t="shared" si="0"/>
        <v>3777.3727019665189</v>
      </c>
    </row>
    <row r="9" spans="1:17" s="467" customFormat="1">
      <c r="A9" s="465" t="s">
        <v>579</v>
      </c>
      <c r="B9" s="466">
        <f>transport!B14</f>
        <v>4.3015194876194096</v>
      </c>
      <c r="C9" s="466">
        <f>transport!C14</f>
        <v>0</v>
      </c>
      <c r="D9" s="466">
        <f>transport!D14</f>
        <v>11.885685764352939</v>
      </c>
      <c r="E9" s="466">
        <f>transport!E14</f>
        <v>818.22735026604414</v>
      </c>
      <c r="F9" s="466">
        <f>transport!F14</f>
        <v>0</v>
      </c>
      <c r="G9" s="466">
        <f>transport!G14</f>
        <v>164688.84673835215</v>
      </c>
      <c r="H9" s="466">
        <f>transport!H14</f>
        <v>27549.431011280954</v>
      </c>
      <c r="I9" s="466">
        <f>transport!I14</f>
        <v>0</v>
      </c>
      <c r="J9" s="466">
        <f>transport!J14</f>
        <v>0</v>
      </c>
      <c r="K9" s="466">
        <f>transport!K14</f>
        <v>0</v>
      </c>
      <c r="L9" s="466">
        <f>transport!L14</f>
        <v>0</v>
      </c>
      <c r="M9" s="466">
        <f>transport!M14</f>
        <v>8593.8563595633768</v>
      </c>
      <c r="N9" s="466">
        <f>transport!N14</f>
        <v>0</v>
      </c>
      <c r="O9" s="466">
        <f>transport!O14</f>
        <v>0</v>
      </c>
      <c r="P9" s="466">
        <f>transport!P14</f>
        <v>0</v>
      </c>
      <c r="Q9" s="465">
        <f>SUM(B9:P9)</f>
        <v>201666.5486647145</v>
      </c>
    </row>
    <row r="10" spans="1:17">
      <c r="A10" s="461" t="s">
        <v>569</v>
      </c>
      <c r="B10" s="462">
        <f>transport!B54</f>
        <v>0</v>
      </c>
      <c r="C10" s="462">
        <f>transport!C54</f>
        <v>0</v>
      </c>
      <c r="D10" s="462">
        <f>transport!D54</f>
        <v>0</v>
      </c>
      <c r="E10" s="462">
        <f>transport!E54</f>
        <v>0</v>
      </c>
      <c r="F10" s="462">
        <f>transport!F54</f>
        <v>0</v>
      </c>
      <c r="G10" s="462">
        <f>transport!G54</f>
        <v>1479.9147910992554</v>
      </c>
      <c r="H10" s="462">
        <f>transport!H54</f>
        <v>0</v>
      </c>
      <c r="I10" s="462">
        <f>transport!I54</f>
        <v>0</v>
      </c>
      <c r="J10" s="462">
        <f>transport!J54</f>
        <v>0</v>
      </c>
      <c r="K10" s="462">
        <f>transport!K54</f>
        <v>0</v>
      </c>
      <c r="L10" s="462">
        <f>transport!L54</f>
        <v>0</v>
      </c>
      <c r="M10" s="462">
        <f>transport!M54</f>
        <v>64.985499749320454</v>
      </c>
      <c r="N10" s="462">
        <f>transport!N54</f>
        <v>0</v>
      </c>
      <c r="O10" s="462">
        <f>transport!O54</f>
        <v>0</v>
      </c>
      <c r="P10" s="463">
        <f>transport!P54</f>
        <v>0</v>
      </c>
      <c r="Q10" s="461">
        <f t="shared" si="0"/>
        <v>1544.9002908485759</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36950.799681449571</v>
      </c>
      <c r="C14" s="472">
        <f t="shared" ref="C14:Q14" ca="1" si="1">SUM(C4:C13)</f>
        <v>57.857142857142861</v>
      </c>
      <c r="D14" s="472">
        <f t="shared" ca="1" si="1"/>
        <v>43707.80549332044</v>
      </c>
      <c r="E14" s="472">
        <f t="shared" si="1"/>
        <v>5341.1313979567658</v>
      </c>
      <c r="F14" s="472">
        <f t="shared" ca="1" si="1"/>
        <v>38426.863366179488</v>
      </c>
      <c r="G14" s="472">
        <f t="shared" si="1"/>
        <v>166168.76152945141</v>
      </c>
      <c r="H14" s="472">
        <f t="shared" si="1"/>
        <v>27549.431011280954</v>
      </c>
      <c r="I14" s="472">
        <f t="shared" si="1"/>
        <v>0</v>
      </c>
      <c r="J14" s="472">
        <f t="shared" si="1"/>
        <v>26.196966560857113</v>
      </c>
      <c r="K14" s="472">
        <f t="shared" si="1"/>
        <v>0</v>
      </c>
      <c r="L14" s="472">
        <f t="shared" ca="1" si="1"/>
        <v>0</v>
      </c>
      <c r="M14" s="472">
        <f t="shared" si="1"/>
        <v>8658.8418593126971</v>
      </c>
      <c r="N14" s="472">
        <f t="shared" ca="1" si="1"/>
        <v>6036.2494145555374</v>
      </c>
      <c r="O14" s="472">
        <f t="shared" si="1"/>
        <v>87.546666666666681</v>
      </c>
      <c r="P14" s="473">
        <f t="shared" si="1"/>
        <v>610.13333333333333</v>
      </c>
      <c r="Q14" s="473">
        <f t="shared" ca="1" si="1"/>
        <v>333621.61786292488</v>
      </c>
    </row>
    <row r="16" spans="1:17">
      <c r="A16" s="475" t="s">
        <v>574</v>
      </c>
      <c r="B16" s="829">
        <f ca="1">huishoudens!B10</f>
        <v>0.20890382233567009</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5518.6429783165049</v>
      </c>
      <c r="C21" s="462">
        <f t="shared" ref="C21:C30" ca="1" si="3">C4*$C$16</f>
        <v>0</v>
      </c>
      <c r="D21" s="462">
        <f t="shared" ref="D21:D30" si="4">D4*$D$16</f>
        <v>6732.6315642916898</v>
      </c>
      <c r="E21" s="462">
        <f t="shared" ref="E21:E30" si="5">E4*$E$16</f>
        <v>995.74215967535326</v>
      </c>
      <c r="F21" s="462">
        <f t="shared" ref="F21:F30" si="6">F4*$F$16</f>
        <v>9538.1127159213138</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22785.129418204862</v>
      </c>
    </row>
    <row r="22" spans="1:17">
      <c r="A22" s="461" t="s">
        <v>156</v>
      </c>
      <c r="B22" s="462">
        <f t="shared" ca="1" si="2"/>
        <v>1577.2265406433819</v>
      </c>
      <c r="C22" s="462">
        <f t="shared" ca="1" si="3"/>
        <v>13.749579831932778</v>
      </c>
      <c r="D22" s="462">
        <f t="shared" ca="1" si="4"/>
        <v>1488.3096321370617</v>
      </c>
      <c r="E22" s="462">
        <f t="shared" si="5"/>
        <v>26.894065850572208</v>
      </c>
      <c r="F22" s="462">
        <f t="shared" ca="1" si="6"/>
        <v>407.49452767709465</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3513.6743461400429</v>
      </c>
    </row>
    <row r="23" spans="1:17">
      <c r="A23" s="461" t="s">
        <v>194</v>
      </c>
      <c r="B23" s="462">
        <f t="shared" ca="1" si="2"/>
        <v>177.52563260556312</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177.52563260556312</v>
      </c>
    </row>
    <row r="24" spans="1:17">
      <c r="A24" s="461" t="s">
        <v>112</v>
      </c>
      <c r="B24" s="462">
        <f t="shared" ca="1" si="2"/>
        <v>33.527024061907525</v>
      </c>
      <c r="C24" s="462">
        <f t="shared" ca="1" si="3"/>
        <v>0</v>
      </c>
      <c r="D24" s="462">
        <f t="shared" si="4"/>
        <v>392.38229504283436</v>
      </c>
      <c r="E24" s="462">
        <f t="shared" si="5"/>
        <v>0.34320710422280903</v>
      </c>
      <c r="F24" s="462">
        <f t="shared" si="6"/>
        <v>139.83668617007407</v>
      </c>
      <c r="G24" s="462">
        <f t="shared" si="7"/>
        <v>0</v>
      </c>
      <c r="H24" s="462">
        <f t="shared" si="8"/>
        <v>0</v>
      </c>
      <c r="I24" s="462">
        <f t="shared" si="9"/>
        <v>0</v>
      </c>
      <c r="J24" s="462">
        <f t="shared" si="10"/>
        <v>7.0281117432281608</v>
      </c>
      <c r="K24" s="462">
        <f t="shared" si="11"/>
        <v>0</v>
      </c>
      <c r="L24" s="462">
        <f t="shared" si="12"/>
        <v>0</v>
      </c>
      <c r="M24" s="462">
        <f t="shared" si="13"/>
        <v>0</v>
      </c>
      <c r="N24" s="462">
        <f t="shared" si="14"/>
        <v>0</v>
      </c>
      <c r="O24" s="462">
        <f t="shared" si="15"/>
        <v>0</v>
      </c>
      <c r="P24" s="463">
        <f t="shared" si="16"/>
        <v>0</v>
      </c>
      <c r="Q24" s="461">
        <f t="shared" ca="1" si="17"/>
        <v>573.11732412226695</v>
      </c>
    </row>
    <row r="25" spans="1:17">
      <c r="A25" s="461" t="s">
        <v>685</v>
      </c>
      <c r="B25" s="462">
        <f t="shared" ca="1" si="2"/>
        <v>411.34251232430273</v>
      </c>
      <c r="C25" s="462">
        <f t="shared" ca="1" si="3"/>
        <v>0</v>
      </c>
      <c r="D25" s="462">
        <f t="shared" si="4"/>
        <v>213.25230965474435</v>
      </c>
      <c r="E25" s="462">
        <f t="shared" si="5"/>
        <v>3.7197861956456517</v>
      </c>
      <c r="F25" s="462">
        <f t="shared" si="6"/>
        <v>174.52858900144068</v>
      </c>
      <c r="G25" s="462">
        <f t="shared" si="7"/>
        <v>0</v>
      </c>
      <c r="H25" s="462">
        <f t="shared" si="8"/>
        <v>0</v>
      </c>
      <c r="I25" s="462">
        <f t="shared" si="9"/>
        <v>0</v>
      </c>
      <c r="J25" s="462">
        <f t="shared" si="10"/>
        <v>2.245614419315257</v>
      </c>
      <c r="K25" s="462">
        <f t="shared" si="11"/>
        <v>0</v>
      </c>
      <c r="L25" s="462">
        <f t="shared" si="12"/>
        <v>0</v>
      </c>
      <c r="M25" s="462">
        <f t="shared" si="13"/>
        <v>0</v>
      </c>
      <c r="N25" s="462">
        <f t="shared" si="14"/>
        <v>0</v>
      </c>
      <c r="O25" s="462">
        <f t="shared" si="15"/>
        <v>0</v>
      </c>
      <c r="P25" s="463">
        <f t="shared" si="16"/>
        <v>0</v>
      </c>
      <c r="Q25" s="461">
        <f t="shared" ca="1" si="17"/>
        <v>805.08881159544865</v>
      </c>
    </row>
    <row r="26" spans="1:17" s="467" customFormat="1">
      <c r="A26" s="465" t="s">
        <v>579</v>
      </c>
      <c r="B26" s="823">
        <f t="shared" ca="1" si="2"/>
        <v>0.89860386281506777</v>
      </c>
      <c r="C26" s="466">
        <f t="shared" ca="1" si="3"/>
        <v>0</v>
      </c>
      <c r="D26" s="466">
        <f t="shared" si="4"/>
        <v>2.4009085243992936</v>
      </c>
      <c r="E26" s="466">
        <f t="shared" si="5"/>
        <v>185.73760851039202</v>
      </c>
      <c r="F26" s="466">
        <f t="shared" si="6"/>
        <v>0</v>
      </c>
      <c r="G26" s="466">
        <f t="shared" si="7"/>
        <v>43971.922079140029</v>
      </c>
      <c r="H26" s="466">
        <f t="shared" si="8"/>
        <v>6859.8083218089578</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51020.767521846596</v>
      </c>
    </row>
    <row r="27" spans="1:17">
      <c r="A27" s="461" t="s">
        <v>569</v>
      </c>
      <c r="B27" s="462">
        <f t="shared" ca="1" si="2"/>
        <v>0</v>
      </c>
      <c r="C27" s="462">
        <f t="shared" ca="1" si="3"/>
        <v>0</v>
      </c>
      <c r="D27" s="462">
        <f t="shared" si="4"/>
        <v>0</v>
      </c>
      <c r="E27" s="462">
        <f t="shared" si="5"/>
        <v>0</v>
      </c>
      <c r="F27" s="462">
        <f t="shared" si="6"/>
        <v>0</v>
      </c>
      <c r="G27" s="462">
        <f t="shared" si="7"/>
        <v>395.13724922350121</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395.13724922350121</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7719.1632918144751</v>
      </c>
      <c r="C31" s="472">
        <f t="shared" ca="1" si="18"/>
        <v>13.749579831932778</v>
      </c>
      <c r="D31" s="472">
        <f t="shared" ca="1" si="18"/>
        <v>8828.9767096507312</v>
      </c>
      <c r="E31" s="472">
        <f t="shared" si="18"/>
        <v>1212.4368273361858</v>
      </c>
      <c r="F31" s="472">
        <f t="shared" ca="1" si="18"/>
        <v>10259.972518769922</v>
      </c>
      <c r="G31" s="472">
        <f t="shared" si="18"/>
        <v>44367.059328363532</v>
      </c>
      <c r="H31" s="472">
        <f t="shared" si="18"/>
        <v>6859.8083218089578</v>
      </c>
      <c r="I31" s="472">
        <f t="shared" si="18"/>
        <v>0</v>
      </c>
      <c r="J31" s="472">
        <f t="shared" si="18"/>
        <v>9.2737261625434186</v>
      </c>
      <c r="K31" s="472">
        <f t="shared" si="18"/>
        <v>0</v>
      </c>
      <c r="L31" s="472">
        <f t="shared" ca="1" si="18"/>
        <v>0</v>
      </c>
      <c r="M31" s="472">
        <f t="shared" si="18"/>
        <v>0</v>
      </c>
      <c r="N31" s="472">
        <f t="shared" ca="1" si="18"/>
        <v>0</v>
      </c>
      <c r="O31" s="472">
        <f t="shared" si="18"/>
        <v>0</v>
      </c>
      <c r="P31" s="473">
        <f t="shared" si="18"/>
        <v>0</v>
      </c>
      <c r="Q31" s="473">
        <f t="shared" ca="1" si="18"/>
        <v>79270.440303738273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0.20890382233567009</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0.20890382233567009</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0.20890382233567009</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2018-06-27T09:18:05Z</dcterms:modified>
</cp:coreProperties>
</file>