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B16"/>
  <c r="B78" i="14" s="1"/>
  <c r="K11" i="18"/>
  <c r="J11"/>
  <c r="I11"/>
  <c r="H11"/>
  <c r="G11"/>
  <c r="F11"/>
  <c r="E11"/>
  <c r="D11"/>
  <c r="C11"/>
  <c r="L8"/>
  <c r="L9" s="1"/>
  <c r="K8"/>
  <c r="K9" s="1"/>
  <c r="J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50" s="1"/>
  <c r="E8" i="16"/>
  <c r="J15"/>
  <c r="B97" i="18"/>
  <c r="D101" s="1"/>
  <c r="C13" i="15"/>
  <c r="D12" i="22"/>
  <c r="E17" i="14"/>
  <c r="D13" i="48"/>
  <c r="D31" i="20"/>
  <c r="E43" i="14" s="1"/>
  <c r="E12" i="22"/>
  <c r="F17" i="14"/>
  <c r="E13" i="48"/>
  <c r="G101" i="18"/>
  <c r="C101"/>
  <c r="I11" i="48"/>
  <c r="N19" i="19"/>
  <c r="O35" i="14" s="1"/>
  <c r="B8" i="9"/>
  <c r="B6" i="48" s="1"/>
  <c r="Q6" s="1"/>
  <c r="P22" i="16"/>
  <c r="Q39" i="14" s="1"/>
  <c r="P18" i="16"/>
  <c r="P8" i="48" s="1"/>
  <c r="P25" s="1"/>
  <c r="F8" i="17"/>
  <c r="F7" i="48" s="1"/>
  <c r="F24" s="1"/>
  <c r="J8" i="17"/>
  <c r="K22" i="14" s="1"/>
  <c r="O80"/>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F30"/>
  <c r="J30"/>
  <c r="N30"/>
  <c r="K22"/>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L8" i="17" l="1"/>
  <c r="L12" s="1"/>
  <c r="M48" i="14" s="1"/>
  <c r="L5" i="17"/>
  <c r="G22" i="14"/>
  <c r="F101" i="18"/>
  <c r="I16" s="1"/>
  <c r="I101"/>
  <c r="H16" s="1"/>
  <c r="L27" i="48"/>
  <c r="L29"/>
  <c r="B101" i="18"/>
  <c r="C16" s="1"/>
  <c r="E101"/>
  <c r="E16" s="1"/>
  <c r="H101"/>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O79" i="14"/>
  <c r="C7" i="48"/>
  <c r="D22" i="14"/>
  <c r="M23" i="48"/>
  <c r="L30"/>
  <c r="L23"/>
  <c r="M28"/>
  <c r="M22"/>
  <c r="D9"/>
  <c r="D26" s="1"/>
  <c r="D14" i="22"/>
  <c r="N17" i="14"/>
  <c r="M12" i="22"/>
  <c r="B36" i="13"/>
  <c r="O68" i="14"/>
  <c r="C79"/>
  <c r="L22" i="16"/>
  <c r="M39" i="14" s="1"/>
  <c r="L8" i="48"/>
  <c r="L25" s="1"/>
  <c r="M13" i="14"/>
  <c r="E8" i="17"/>
  <c r="F22" i="14" s="1"/>
  <c r="J16" i="18"/>
  <c r="F19" i="14"/>
  <c r="F20" s="1"/>
  <c r="E14" i="22"/>
  <c r="K14" i="48"/>
  <c r="B34" i="13"/>
  <c r="B46" s="1"/>
  <c r="E5" s="1"/>
  <c r="E8" s="1"/>
  <c r="E12" s="1"/>
  <c r="F37" i="14" s="1"/>
  <c r="O18" i="16"/>
  <c r="M13" i="48"/>
  <c r="M51" i="22"/>
  <c r="M50" s="1"/>
  <c r="M54" s="1"/>
  <c r="M10" i="48" s="1"/>
  <c r="M27" s="1"/>
  <c r="H31" i="20"/>
  <c r="I43" i="14" s="1"/>
  <c r="H13" i="48"/>
  <c r="H30" s="1"/>
  <c r="M31" i="20"/>
  <c r="N43" i="14" s="1"/>
  <c r="G50" i="22"/>
  <c r="G54" s="1"/>
  <c r="H18" i="14" s="1"/>
  <c r="G13" i="48"/>
  <c r="H17" i="14"/>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D18" i="22"/>
  <c r="E45" i="14" s="1"/>
  <c r="E46" s="1"/>
  <c r="E19"/>
  <c r="E20" s="1"/>
  <c r="O28" i="48"/>
  <c r="H22"/>
  <c r="K31"/>
  <c r="L26"/>
  <c r="B48" i="13"/>
  <c r="C48" s="1"/>
  <c r="N5" s="1"/>
  <c r="N8" s="1"/>
  <c r="N4" i="48" s="1"/>
  <c r="N21" s="1"/>
  <c r="M30"/>
  <c r="M29"/>
  <c r="M25"/>
  <c r="M24"/>
  <c r="I31"/>
  <c r="C50" i="13"/>
  <c r="J5" s="1"/>
  <c r="J8" s="1"/>
  <c r="E7" i="48"/>
  <c r="E24" s="1"/>
  <c r="E12" i="17"/>
  <c r="F48" i="14" s="1"/>
  <c r="C5" i="48"/>
  <c r="C14" s="1"/>
  <c r="J78" i="14" l="1"/>
  <c r="J81" s="1"/>
  <c r="I19" i="18"/>
  <c r="D78" i="14"/>
  <c r="C19" i="18"/>
  <c r="L7" i="48"/>
  <c r="L24" s="1"/>
  <c r="F78" i="14"/>
  <c r="F81" s="1"/>
  <c r="E19" i="18"/>
  <c r="M22" i="14"/>
  <c r="J7" i="18"/>
  <c r="J9" s="1"/>
  <c r="C19" i="14"/>
  <c r="C20" s="1"/>
  <c r="R17"/>
  <c r="I78"/>
  <c r="I81" s="1"/>
  <c r="H19" i="18"/>
  <c r="E10" i="14"/>
  <c r="E15" s="1"/>
  <c r="E23" s="1"/>
  <c r="D5" i="48"/>
  <c r="D22" s="1"/>
  <c r="D31" s="1"/>
  <c r="J16" i="15"/>
  <c r="K10" i="14" s="1"/>
  <c r="C9" i="18"/>
  <c r="D67" i="14"/>
  <c r="N7" i="48"/>
  <c r="N24" s="1"/>
  <c r="N12" i="17"/>
  <c r="O48" i="14" s="1"/>
  <c r="K78"/>
  <c r="M16" i="18"/>
  <c r="M19" s="1"/>
  <c r="J19"/>
  <c r="O22" i="14"/>
  <c r="R22" s="1"/>
  <c r="P15"/>
  <c r="P23" s="1"/>
  <c r="O8" i="48"/>
  <c r="O25" s="1"/>
  <c r="P13" i="14"/>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O78" i="14" l="1"/>
  <c r="O81" s="1"/>
  <c r="B17" i="6" s="1"/>
  <c r="B22" s="1"/>
  <c r="D81" i="14"/>
  <c r="M7" i="18"/>
  <c r="M9" s="1"/>
  <c r="N46" i="14"/>
  <c r="N53" s="1"/>
  <c r="K67"/>
  <c r="K69"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Q9" s="1"/>
  <c r="I55" i="14"/>
  <c r="H26" i="48"/>
  <c r="H31" s="1"/>
  <c r="H14"/>
  <c r="C15" i="14"/>
  <c r="C23" s="1"/>
  <c r="B3" i="6" s="1"/>
  <c r="E53" i="14"/>
  <c r="E55" s="1"/>
  <c r="M36"/>
  <c r="M41" s="1"/>
  <c r="L14" i="48"/>
  <c r="M23" i="14"/>
  <c r="Q5" i="48"/>
  <c r="O13" i="14"/>
  <c r="O15" s="1"/>
  <c r="N22" i="16"/>
  <c r="O39" i="14" s="1"/>
  <c r="O41" s="1"/>
  <c r="Q4" i="48"/>
  <c r="N22"/>
  <c r="R11" i="14"/>
  <c r="J21" i="48"/>
  <c r="R10" i="14"/>
  <c r="C17" i="19" l="1"/>
  <c r="C19" s="1"/>
  <c r="D35" i="14" s="1"/>
  <c r="C18" i="15"/>
  <c r="C20" s="1"/>
  <c r="D36" i="14" s="1"/>
  <c r="C56" i="22"/>
  <c r="C58" s="1"/>
  <c r="D44" i="14" s="1"/>
  <c r="D46" s="1"/>
  <c r="C20" i="16"/>
  <c r="C22" s="1"/>
  <c r="D39" i="14" s="1"/>
  <c r="C10" i="13"/>
  <c r="C16" i="48" s="1"/>
  <c r="C30" s="1"/>
  <c r="C29" i="20"/>
  <c r="C16" i="22"/>
  <c r="C10" i="17"/>
  <c r="C12" s="1"/>
  <c r="D48" i="14" s="1"/>
  <c r="C17" i="49"/>
  <c r="J31" i="48"/>
  <c r="K13" i="14"/>
  <c r="K15" s="1"/>
  <c r="K23" s="1"/>
  <c r="K55" s="1"/>
  <c r="J14" i="48"/>
  <c r="F22" i="16"/>
  <c r="G39" i="14" s="1"/>
  <c r="G41" s="1"/>
  <c r="G53" s="1"/>
  <c r="G55" s="1"/>
  <c r="O69" s="1"/>
  <c r="B9" i="6" s="1"/>
  <c r="B12" s="1"/>
  <c r="F8" i="48"/>
  <c r="N55" i="14"/>
  <c r="E25" i="48"/>
  <c r="E31" s="1"/>
  <c r="E14"/>
  <c r="N25"/>
  <c r="N31" s="1"/>
  <c r="N14"/>
  <c r="E22" i="16"/>
  <c r="F39" i="14" s="1"/>
  <c r="F41" s="1"/>
  <c r="F53" s="1"/>
  <c r="F55" s="1"/>
  <c r="J22" i="16"/>
  <c r="K39" i="14" s="1"/>
  <c r="K41" s="1"/>
  <c r="K53" s="1"/>
  <c r="Q8" i="48"/>
  <c r="F13" i="14"/>
  <c r="F15" s="1"/>
  <c r="F23" s="1"/>
  <c r="G14" i="48"/>
  <c r="H55" i="14"/>
  <c r="M14" i="48"/>
  <c r="R19" i="14"/>
  <c r="R20" s="1"/>
  <c r="M26" i="48"/>
  <c r="M31" s="1"/>
  <c r="O53" i="14"/>
  <c r="M53"/>
  <c r="M55" s="1"/>
  <c r="C12" i="13"/>
  <c r="D37" i="14" s="1"/>
  <c r="C23" i="48"/>
  <c r="C24"/>
  <c r="C27"/>
  <c r="C28"/>
  <c r="C29"/>
  <c r="C21"/>
  <c r="C26"/>
  <c r="F25"/>
  <c r="F31" s="1"/>
  <c r="F14"/>
  <c r="Q14"/>
  <c r="D41" i="14" l="1"/>
  <c r="D53" s="1"/>
  <c r="D55" s="1"/>
  <c r="R13"/>
  <c r="R15" s="1"/>
  <c r="R23" s="1"/>
  <c r="C22" i="48"/>
  <c r="C25"/>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<sst xmlns="http://schemas.openxmlformats.org/spreadsheetml/2006/main" count="2027" uniqueCount="883">
  <si>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</si>
  <si>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</si>
  <si>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</si>
  <si>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</si>
  <si>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</si>
  <si>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</si>
  <si>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</si>
  <si>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</si>
  <si>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</si>
  <si>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</si>
  <si>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</si>
  <si>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</si>
  <si>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</si>
  <si>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</si>
  <si>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</si>
  <si>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</si>
  <si>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</si>
  <si>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</si>
  <si>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</si>
  <si>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</si>
  <si>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</si>
  <si>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</si>
  <si>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</si>
  <si>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</si>
  <si>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</si>
  <si>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</si>
  <si>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</si>
  <si>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</si>
  <si>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</si>
  <si>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</si>
  <si>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</si>
  <si>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</si>
  <si>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</si>
  <si>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</si>
  <si>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</si>
  <si>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</si>
  <si>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</si>
  <si>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</si>
  <si>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</si>
  <si>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</si>
  <si>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</si>
  <si>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</si>
  <si>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</si>
  <si>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</si>
  <si>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</si>
  <si>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</si>
  <si>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</si>
  <si>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</si>
  <si>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</si>
  <si>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</si>
  <si>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</si>
  <si>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</si>
  <si>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</si>
  <si>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</si>
  <si>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</si>
  <si>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</si>
  <si>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</si>
  <si>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</si>
  <si>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</si>
  <si>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</si>
  <si>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</si>
  <si>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</si>
  <si>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</si>
  <si>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</si>
  <si>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</si>
  <si>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</si>
  <si>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</si>
  <si>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</si>
  <si>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</si>
  <si>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</si>
  <si>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</si>
  <si>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</si>
  <si>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</si>
  <si>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</si>
  <si>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</si>
  <si>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</si>
  <si>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</si>
  <si>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</si>
  <si>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</si>
  <si>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</si>
  <si>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</si>
  <si>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</si>
  <si>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</si>
  <si>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</si>
  <si>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</si>
  <si>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</si>
  <si>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</si>
  <si>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</si>
  <si>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</si>
  <si>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</si>
  <si>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</si>
  <si>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</si>
  <si>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</si>
  <si>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</si>
  <si>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</si>
  <si>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</si>
  <si>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</si>
  <si>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</si>
  <si>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</si>
  <si>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</si>
  <si>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</si>
  <si>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</si>
  <si>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</si>
  <si>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</si>
  <si>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</si>
  <si>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</si>
  <si>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</si>
  <si>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</si>
  <si>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</si>
  <si>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</si>
  <si>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</si>
  <si>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</si>
  <si>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</si>
  <si>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</si>
  <si>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</si>
  <si>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</si>
  <si>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</si>
  <si>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</si>
  <si>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</si>
  <si>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</si>
  <si>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</si>
  <si>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</si>
  <si>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</si>
  <si>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</si>
  <si>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</si>
  <si>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</si>
  <si>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</si>
  <si>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</si>
  <si>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</si>
  <si>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</si>
  <si>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</si>
  <si>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</si>
  <si>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</si>
  <si>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</si>
  <si>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</si>
  <si>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</si>
  <si>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</si>
  <si>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</si>
  <si>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</si>
  <si>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</si>
  <si>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</si>
  <si>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</si>
  <si>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</si>
  <si>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</si>
  <si>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</si>
  <si>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</si>
  <si>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</si>
  <si>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</si>
  <si>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</si>
  <si>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</si>
  <si>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</si>
  <si>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</si>
  <si>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</si>
  <si>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</si>
  <si>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</si>
  <si>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</si>
  <si>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</si>
  <si>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</si>
  <si>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</si>
  <si>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</si>
  <si>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</si>
  <si>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</si>
  <si>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</si>
  <si>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</si>
  <si>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</si>
  <si>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</si>
  <si>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</si>
  <si>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</si>
  <si>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</si>
  <si>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</si>
  <si>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</si>
  <si>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</si>
  <si>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</si>
  <si>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</si>
  <si>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</si>
  <si>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</si>
  <si>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</si>
  <si>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</si>
  <si>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</si>
  <si>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</si>
  <si>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</si>
  <si>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</si>
  <si>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</si>
  <si>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</si>
  <si>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</si>
  <si>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</si>
  <si>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</si>
  <si>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</si>
  <si>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</si>
  <si>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</si>
  <si>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</si>
  <si>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</si>
  <si>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</si>
  <si>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</si>
  <si>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</si>
  <si>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</si>
  <si>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</si>
  <si>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</si>
  <si>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</si>
  <si>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</si>
  <si>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</si>
  <si>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</si>
  <si>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</si>
  <si>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</si>
  <si>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</si>
  <si>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</si>
  <si>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</si>
  <si>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</si>
  <si>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</si>
  <si>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</si>
  <si>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</si>
  <si>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</si>
  <si>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</si>
  <si>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</si>
  <si>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</si>
  <si>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</si>
  <si>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</si>
  <si>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</si>
  <si>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</si>
  <si>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</si>
  <si>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</si>
  <si>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</si>
  <si>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</si>
  <si>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</si>
  <si>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</si>
  <si>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</si>
  <si>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</si>
  <si>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</si>
  <si>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</si>
  <si>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</si>
  <si>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</si>
  <si>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</si>
  <si>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</si>
  <si>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</si>
  <si>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</si>
  <si>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</si>
  <si>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</si>
  <si>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</si>
  <si>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</si>
  <si>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</si>
  <si>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</si>
  <si>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</si>
  <si>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</si>
  <si>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</si>
  <si>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</si>
  <si>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</si>
  <si>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</si>
  <si>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</si>
  <si>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</si>
  <si>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</si>
  <si>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</si>
  <si>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</si>
  <si>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</si>
  <si>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</si>
  <si>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</si>
  <si>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</si>
  <si>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</si>
  <si>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</si>
  <si>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</si>
  <si>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</si>
  <si>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</si>
  <si>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</si>
  <si>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</si>
  <si>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</si>
  <si>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</si>
  <si>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</si>
  <si>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</si>
  <si>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</si>
  <si>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</si>
  <si>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</si>
  <si>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</si>
  <si>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</si>
  <si>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</si>
  <si>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</si>
  <si>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</si>
  <si>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</si>
  <si>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</si>
  <si>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</si>
  <si>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</si>
  <si>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</si>
  <si>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</si>
  <si>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</si>
  <si>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</si>
  <si>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</si>
  <si>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</si>
  <si>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</si>
  <si>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</si>
  <si>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</si>
  <si>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</si>
  <si>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</si>
  <si>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</si>
  <si>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</si>
  <si>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</si>
  <si>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</si>
  <si>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</si>
  <si>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</si>
  <si>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</si>
  <si>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</si>
  <si>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</si>
  <si>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</si>
  <si>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</si>
  <si>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</si>
  <si>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</si>
  <si>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</si>
  <si>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</si>
  <si>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</si>
  <si>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</si>
  <si>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</si>
  <si>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</si>
  <si>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</si>
  <si>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</si>
  <si>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</si>
  <si>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</si>
  <si>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</si>
  <si>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</si>
  <si>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</si>
  <si>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</si>
  <si>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</si>
  <si>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</si>
  <si>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</si>
  <si>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</si>
  <si>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</si>
  <si>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</si>
  <si>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</si>
  <si>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</si>
  <si>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</si>
  <si>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</si>
  <si>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</si>
  <si>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</si>
  <si>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</si>
  <si>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</si>
  <si>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</si>
  <si>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</si>
  <si>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</si>
  <si>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</si>
  <si>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</si>
  <si>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</si>
  <si>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</si>
  <si>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</si>
  <si>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</si>
  <si>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</si>
  <si>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</si>
  <si>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</si>
  <si>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</si>
  <si>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</si>
  <si>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</si>
  <si>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</si>
  <si>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</si>
  <si>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</si>
  <si>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</si>
  <si>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</si>
  <si>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</si>
  <si>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</si>
  <si>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</si>
  <si>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</si>
  <si>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</si>
  <si>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</si>
  <si>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</si>
  <si>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</si>
  <si>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</si>
  <si>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</si>
  <si>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</si>
  <si>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</si>
  <si>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</si>
  <si>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</si>
  <si>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</si>
  <si>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</si>
  <si>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</si>
  <si>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</si>
  <si>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</si>
  <si>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</si>
  <si>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</si>
  <si>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</si>
  <si>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</si>
  <si>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</si>
  <si>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</si>
  <si>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</si>
  <si>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</si>
  <si>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</si>
  <si>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</si>
  <si>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</si>
  <si>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</si>
  <si>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</si>
  <si>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</si>
  <si>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</si>
  <si>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</si>
  <si>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</si>
  <si>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</si>
  <si>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</si>
  <si>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</si>
  <si>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</si>
  <si>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</si>
  <si>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</si>
  <si>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</si>
  <si>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</si>
  <si>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</si>
  <si>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</si>
  <si>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</si>
  <si>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</si>
  <si>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</si>
  <si>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</si>
  <si>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</si>
  <si>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</si>
  <si>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</si>
  <si>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</si>
  <si>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</si>
  <si>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</si>
  <si>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</si>
  <si>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</si>
  <si>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</si>
  <si>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</si>
  <si>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</si>
  <si>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</si>
  <si>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</si>
  <si>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</si>
  <si>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</si>
  <si>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</si>
  <si>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</si>
  <si>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</si>
  <si>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</si>
  <si>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</si>
  <si>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</si>
  <si>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</si>
  <si>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</si>
  <si>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</si>
  <si>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</si>
  <si>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</si>
  <si>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</si>
  <si>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</si>
  <si>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</si>
  <si>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</si>
  <si>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</si>
  <si>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</si>
  <si>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</si>
  <si>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</si>
  <si>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</si>
  <si>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</si>
  <si>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</si>
  <si>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</si>
  <si>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</si>
  <si>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</si>
  <si>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</si>
  <si>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</si>
  <si>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</si>
  <si>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</si>
  <si>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</si>
  <si>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</si>
  <si>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</si>
  <si>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</si>
  <si>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</si>
  <si>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</si>
  <si>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</si>
  <si>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</si>
  <si>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</si>
  <si>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</si>
  <si>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</si>
  <si>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</si>
  <si>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</si>
  <si>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</si>
  <si>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</si>
  <si>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</si>
  <si>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</si>
  <si>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</si>
  <si>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</si>
  <si>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</si>
  <si>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</si>
  <si>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</si>
  <si>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</si>
  <si>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</si>
  <si>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</si>
  <si>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</si>
  <si>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</si>
  <si>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</si>
  <si>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</si>
  <si>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</si>
  <si>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</si>
  <si>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</si>
  <si>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</si>
  <si>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</si>
  <si>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</si>
  <si>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</si>
  <si>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</si>
  <si>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</si>
  <si>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</si>
  <si>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</si>
  <si>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</si>
  <si>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</si>
  <si>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</si>
  <si>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</si>
  <si>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</si>
  <si>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</si>
  <si>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</si>
  <si>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</si>
  <si>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</si>
  <si>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</si>
  <si>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</si>
  <si>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</si>
  <si>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</si>
  <si>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</si>
  <si>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</si>
  <si>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</si>
  <si>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</si>
  <si>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</si>
  <si>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</si>
  <si>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</si>
  <si>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</si>
  <si>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</si>
  <si>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</si>
  <si>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</si>
  <si>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</si>
  <si>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</si>
  <si>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</si>
  <si>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</si>
  <si>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</si>
  <si>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</si>
  <si>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</si>
  <si>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</si>
  <si>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</si>
  <si>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</si>
  <si>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</si>
  <si>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</si>
  <si>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</si>
  <si>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</si>
  <si>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</si>
  <si>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</si>
  <si>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</si>
  <si>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</si>
  <si>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</si>
  <si>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</si>
  <si>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</si>
  <si>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</si>
  <si>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</si>
  <si>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</si>
  <si>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</si>
  <si>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</si>
  <si>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</si>
  <si>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</si>
  <si>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</si>
  <si>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</si>
  <si>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</si>
  <si>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</si>
  <si>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</si>
  <si>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</si>
  <si>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</si>
  <si>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</si>
  <si>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</si>
  <si>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</si>
  <si>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</si>
  <si>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</si>
  <si>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</si>
  <si>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</si>
  <si>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</si>
  <si>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</si>
  <si>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</si>
  <si>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</si>
  <si>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</si>
  <si>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</si>
  <si>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</si>
  <si>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</si>
  <si>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</si>
  <si>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</si>
  <si>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</si>
  <si>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</si>
  <si>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</si>
  <si>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</si>
  <si>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</si>
  <si>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</si>
  <si>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</si>
  <si>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</si>
  <si>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</si>
  <si>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</si>
  <si>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</si>
  <si>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</si>
  <si>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</si>
  <si>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</si>
  <si>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</si>
  <si>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</si>
  <si>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</si>
  <si>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</si>
  <si>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</si>
  <si>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</si>
  <si>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</si>
  <si>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</si>
  <si>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</si>
  <si>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</si>
  <si>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</si>
  <si>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</si>
  <si>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</si>
  <si>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</si>
  <si>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</si>
  <si>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</si>
  <si>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</si>
  <si>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</si>
  <si>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</si>
  <si>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</si>
  <si>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</si>
  <si>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</si>
  <si>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</si>
  <si>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</si>
  <si>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</si>
  <si>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</si>
  <si>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</si>
  <si>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</si>
  <si>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</si>
  <si>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</si>
  <si>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</si>
  <si>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</si>
  <si>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</si>
  <si>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</si>
  <si>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</si>
  <si>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</si>
  <si>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</si>
  <si>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</si>
  <si>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</si>
  <si>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</si>
  <si>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</si>
  <si>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</si>
  <si>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</si>
  <si>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</si>
  <si>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</si>
  <si>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</si>
  <si>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</si>
  <si>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</si>
  <si>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</si>
  <si>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</si>
  <si>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</si>
  <si>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</si>
  <si>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</si>
  <si>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</si>
  <si>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</si>
  <si>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</si>
  <si>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</si>
  <si>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</si>
  <si>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</si>
  <si>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</si>
  <si>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</si>
  <si>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</si>
  <si>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</si>
  <si>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</si>
  <si>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</si>
  <si>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</si>
  <si>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</si>
  <si>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</si>
  <si>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</si>
  <si>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</si>
  <si>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</si>
  <si>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</si>
  <si>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</si>
  <si>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</si>
  <si>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</si>
  <si>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</si>
  <si>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</si>
  <si>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</si>
  <si>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</si>
  <si>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</si>
  <si>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</si>
  <si>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</si>
  <si>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</si>
  <si>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</si>
  <si>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</si>
  <si>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</si>
  <si>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</si>
  <si>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</si>
  <si>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</si>
  <si>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</si>
  <si>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</si>
  <si>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</si>
  <si>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</si>
  <si>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</si>
  <si>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</si>
  <si>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</si>
  <si>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</si>
  <si>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</si>
  <si>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</si>
  <si>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</si>
  <si>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</si>
  <si>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</si>
  <si>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</si>
  <si>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</si>
  <si>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</si>
  <si>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</si>
  <si>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</si>
  <si>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</si>
  <si>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</si>
  <si>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</si>
  <si>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</si>
  <si>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</si>
  <si>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</si>
  <si>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</si>
  <si>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</si>
  <si>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</si>
  <si>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</si>
  <si>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</si>
  <si>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</si>
  <si>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</si>
  <si>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</si>
  <si>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</si>
  <si>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</si>
  <si>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</si>
  <si>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</si>
  <si>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</si>
  <si>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</si>
  <si>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</si>
  <si>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</si>
  <si>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</si>
  <si>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</si>
  <si>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</si>
  <si>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</si>
  <si>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</si>
  <si>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</si>
  <si>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</si>
  <si>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</si>
  <si>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</si>
  <si>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</si>
  <si>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</si>
  <si>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</si>
  <si>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</si>
  <si>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</si>
  <si>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</si>
  <si>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</si>
  <si>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</si>
  <si>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</si>
  <si>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</si>
  <si>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</si>
  <si>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</si>
  <si>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</si>
  <si>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</si>
  <si>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</si>
  <si>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</si>
  <si>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</si>
  <si>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</si>
  <si>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</si>
  <si>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</si>
  <si>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</si>
  <si>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</si>
  <si>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</si>
  <si>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</si>
  <si>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</si>
  <si>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</si>
  <si>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</si>
  <si>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</si>
  <si>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</si>
  <si>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</si>
  <si>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</si>
  <si>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</si>
  <si>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</si>
  <si>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</si>
  <si>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</si>
  <si>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</si>
  <si>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</si>
  <si>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</si>
  <si>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</si>
  <si>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</si>
  <si>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</si>
  <si>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</si>
  <si>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</si>
  <si>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</si>
  <si>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</si>
  <si>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</si>
  <si>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</si>
  <si>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</si>
  <si>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</si>
  <si>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</si>
  <si>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</si>
  <si>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</si>
  <si>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</si>
  <si>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</si>
  <si>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</si>
  <si>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</si>
  <si>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</si>
  <si>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</si>
  <si>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</si>
  <si>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</si>
  <si>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</si>
  <si>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</si>
  <si>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</si>
  <si>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</si>
  <si>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</si>
  <si>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</si>
  <si>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</si>
  <si>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</si>
  <si>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</si>
  <si>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</si>
  <si>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</si>
  <si>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</si>
  <si>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</si>
  <si>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</si>
  <si>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</si>
  <si>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</si>
  <si>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</si>
  <si>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</si>
  <si>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</si>
  <si>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</si>
  <si>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</si>
  <si>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</si>
  <si>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</si>
  <si>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</si>
  <si>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</si>
  <si>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</si>
  <si>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</si>
  <si>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</si>
  <si>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</si>
  <si>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</si>
  <si>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</si>
  <si>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</si>
  <si>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</si>
  <si>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</si>
  <si>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</si>
  <si>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</si>
  <si>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</si>
  <si>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</si>
  <si>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</si>
  <si>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</si>
  <si>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</si>
  <si>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</si>
  <si>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</si>
  <si>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</si>
  <si>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</si>
  <si>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</si>
  <si>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</si>
  <si>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</si>
  <si>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</si>
  <si>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</si>
  <si>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</si>
  <si>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</si>
  <si>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</si>
  <si>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</si>
  <si>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</si>
  <si>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</si>
  <si>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</si>
  <si>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</si>
  <si>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</si>
  <si>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</si>
  <si>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</si>
  <si>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</si>
  <si>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</si>
  <si>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</si>
  <si>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</si>
  <si>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</si>
  <si>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</si>
  <si>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</si>
  <si>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</si>
  <si>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</si>
  <si>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</si>
  <si>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</si>
  <si>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</si>
  <si>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</si>
  <si>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</si>
  <si>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</si>
  <si>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</si>
  <si>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</si>
  <si>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</si>
  <si>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</si>
  <si>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</si>
  <si>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</si>
  <si>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</si>
  <si>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</si>
  <si>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</si>
  <si>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</si>
  <si>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</si>
  <si>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</si>
  <si>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</si>
  <si>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</si>
  <si>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</si>
  <si>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</si>
  <si>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</si>
  <si>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</si>
  <si>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</si>
  <si>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</si>
  <si>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</si>
  <si>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</si>
  <si>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23104</t>
  </si>
  <si>
    <t>LENNIK</t>
  </si>
  <si>
    <t>Paarden&amp;pony's 200 - 600 kg</t>
  </si>
  <si>
    <t>Paarden&amp;pony's &lt; 200 kg</t>
  </si>
  <si>
    <t>op basis van VEA (maart 2018) en Inventaris Hernieuwbare Energiebronnen (juni 2018)</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</si>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</sst>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23104</v>
      </c>
      <c r="B6" s="397"/>
      <c r="C6" s="398"/>
    </row>
    <row r="7" spans="1:7" s="395" customFormat="1" ht="15.75" customHeight="1">
      <c r="A7" s="399" t="str">
        <f>txtMunicipality</f>
        <v>LENNIK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8626.653218631629</v>
      </c>
      <c r="D10" s="703">
        <f ca="1">tertiair!C16</f>
        <v>0</v>
      </c>
      <c r="E10" s="703">
        <f ca="1">tertiair!D16</f>
        <v>7579.9834283197633</v>
      </c>
      <c r="F10" s="703">
        <f>tertiair!E16</f>
        <v>78.358729736662255</v>
      </c>
      <c r="G10" s="703">
        <f ca="1">tertiair!F16</f>
        <v>1683.7575943457393</v>
      </c>
      <c r="H10" s="703">
        <f>tertiair!G16</f>
        <v>0</v>
      </c>
      <c r="I10" s="703">
        <f>tertiair!H16</f>
        <v>0</v>
      </c>
      <c r="J10" s="703">
        <f>tertiair!I16</f>
        <v>0</v>
      </c>
      <c r="K10" s="703">
        <f>tertiair!J16</f>
        <v>0</v>
      </c>
      <c r="L10" s="703">
        <f>tertiair!K16</f>
        <v>0</v>
      </c>
      <c r="M10" s="703">
        <f ca="1">tertiair!L16</f>
        <v>0</v>
      </c>
      <c r="N10" s="703">
        <f>tertiair!M16</f>
        <v>0</v>
      </c>
      <c r="O10" s="703">
        <f ca="1">tertiair!N16</f>
        <v>358.14485417856963</v>
      </c>
      <c r="P10" s="703">
        <f>tertiair!O16</f>
        <v>0</v>
      </c>
      <c r="Q10" s="704">
        <f>tertiair!P16</f>
        <v>0</v>
      </c>
      <c r="R10" s="706">
        <f ca="1">SUM(C10:Q10)</f>
        <v>18326.897825212363</v>
      </c>
      <c r="S10" s="68"/>
    </row>
    <row r="11" spans="1:19" s="458" customFormat="1">
      <c r="A11" s="859" t="s">
        <v>225</v>
      </c>
      <c r="B11" s="864"/>
      <c r="C11" s="703">
        <f>huishoudens!B8</f>
        <v>18832.004879295324</v>
      </c>
      <c r="D11" s="703">
        <f>huishoudens!C8</f>
        <v>0</v>
      </c>
      <c r="E11" s="703">
        <f>huishoudens!D8</f>
        <v>23644.773393231571</v>
      </c>
      <c r="F11" s="703">
        <f>huishoudens!E8</f>
        <v>2736.6464348549093</v>
      </c>
      <c r="G11" s="703">
        <f>huishoudens!F8</f>
        <v>28216.190603607247</v>
      </c>
      <c r="H11" s="703">
        <f>huishoudens!G8</f>
        <v>0</v>
      </c>
      <c r="I11" s="703">
        <f>huishoudens!H8</f>
        <v>0</v>
      </c>
      <c r="J11" s="703">
        <f>huishoudens!I8</f>
        <v>0</v>
      </c>
      <c r="K11" s="703">
        <f>huishoudens!J8</f>
        <v>997.2017947597185</v>
      </c>
      <c r="L11" s="703">
        <f>huishoudens!K8</f>
        <v>0</v>
      </c>
      <c r="M11" s="703">
        <f>huishoudens!L8</f>
        <v>0</v>
      </c>
      <c r="N11" s="703">
        <f>huishoudens!M8</f>
        <v>0</v>
      </c>
      <c r="O11" s="703">
        <f>huishoudens!N8</f>
        <v>4837.4321929882726</v>
      </c>
      <c r="P11" s="703">
        <f>huishoudens!O8</f>
        <v>54.716666666666669</v>
      </c>
      <c r="Q11" s="704">
        <f>huishoudens!P8</f>
        <v>171.6</v>
      </c>
      <c r="R11" s="706">
        <f>SUM(C11:Q11)</f>
        <v>79490.565965403715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2716.373724849338</v>
      </c>
      <c r="D13" s="703">
        <f>industrie!C18</f>
        <v>0</v>
      </c>
      <c r="E13" s="703">
        <f>industrie!D18</f>
        <v>824.56054858042489</v>
      </c>
      <c r="F13" s="703">
        <f>industrie!E18</f>
        <v>20.746610559198871</v>
      </c>
      <c r="G13" s="703">
        <f>industrie!F18</f>
        <v>1224.992665631318</v>
      </c>
      <c r="H13" s="703">
        <f>industrie!G18</f>
        <v>0</v>
      </c>
      <c r="I13" s="703">
        <f>industrie!H18</f>
        <v>0</v>
      </c>
      <c r="J13" s="703">
        <f>industrie!I18</f>
        <v>0</v>
      </c>
      <c r="K13" s="703">
        <f>industrie!J18</f>
        <v>7.4777289834198921</v>
      </c>
      <c r="L13" s="703">
        <f>industrie!K18</f>
        <v>0</v>
      </c>
      <c r="M13" s="703">
        <f>industrie!L18</f>
        <v>0</v>
      </c>
      <c r="N13" s="703">
        <f>industrie!M18</f>
        <v>0</v>
      </c>
      <c r="O13" s="703">
        <f>industrie!N18</f>
        <v>134.52576314744618</v>
      </c>
      <c r="P13" s="703">
        <f>industrie!O18</f>
        <v>0</v>
      </c>
      <c r="Q13" s="704">
        <f>industrie!P18</f>
        <v>0</v>
      </c>
      <c r="R13" s="706">
        <f>SUM(C13:Q13)</f>
        <v>4928.6770417511461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30175.031822776291</v>
      </c>
      <c r="D15" s="708">
        <f t="shared" ref="D15:Q15" ca="1" si="0">SUM(D9:D14)</f>
        <v>0</v>
      </c>
      <c r="E15" s="708">
        <f t="shared" ca="1" si="0"/>
        <v>32049.317370131761</v>
      </c>
      <c r="F15" s="708">
        <f t="shared" si="0"/>
        <v>2835.7517751507703</v>
      </c>
      <c r="G15" s="708">
        <f t="shared" ca="1" si="0"/>
        <v>31124.940863584303</v>
      </c>
      <c r="H15" s="708">
        <f t="shared" si="0"/>
        <v>0</v>
      </c>
      <c r="I15" s="708">
        <f t="shared" si="0"/>
        <v>0</v>
      </c>
      <c r="J15" s="708">
        <f t="shared" si="0"/>
        <v>0</v>
      </c>
      <c r="K15" s="708">
        <f t="shared" si="0"/>
        <v>1004.6795237431384</v>
      </c>
      <c r="L15" s="708">
        <f t="shared" si="0"/>
        <v>0</v>
      </c>
      <c r="M15" s="708">
        <f t="shared" ca="1" si="0"/>
        <v>0</v>
      </c>
      <c r="N15" s="708">
        <f t="shared" si="0"/>
        <v>0</v>
      </c>
      <c r="O15" s="708">
        <f t="shared" ca="1" si="0"/>
        <v>5330.102810314288</v>
      </c>
      <c r="P15" s="708">
        <f t="shared" si="0"/>
        <v>54.716666666666669</v>
      </c>
      <c r="Q15" s="709">
        <f t="shared" si="0"/>
        <v>171.6</v>
      </c>
      <c r="R15" s="710">
        <f ca="1">SUM(R9:R14)</f>
        <v>102746.14083236722</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1902.8588150990963</v>
      </c>
      <c r="I18" s="703">
        <f>transport!H54</f>
        <v>0</v>
      </c>
      <c r="J18" s="703">
        <f>transport!I54</f>
        <v>0</v>
      </c>
      <c r="K18" s="703">
        <f>transport!J54</f>
        <v>0</v>
      </c>
      <c r="L18" s="703">
        <f>transport!K54</f>
        <v>0</v>
      </c>
      <c r="M18" s="703">
        <f>transport!L54</f>
        <v>0</v>
      </c>
      <c r="N18" s="703">
        <f>transport!M54</f>
        <v>83.557669532962308</v>
      </c>
      <c r="O18" s="703">
        <f>transport!N54</f>
        <v>0</v>
      </c>
      <c r="P18" s="703">
        <f>transport!O54</f>
        <v>0</v>
      </c>
      <c r="Q18" s="704">
        <f>transport!P54</f>
        <v>0</v>
      </c>
      <c r="R18" s="706">
        <f>SUM(C18:Q18)</f>
        <v>1986.4164846320587</v>
      </c>
      <c r="S18" s="68"/>
    </row>
    <row r="19" spans="1:19" s="458" customFormat="1" ht="15" thickBot="1">
      <c r="A19" s="859" t="s">
        <v>307</v>
      </c>
      <c r="B19" s="864"/>
      <c r="C19" s="712">
        <f>transport!B14</f>
        <v>2.1868853888729047</v>
      </c>
      <c r="D19" s="712">
        <f>transport!C14</f>
        <v>0</v>
      </c>
      <c r="E19" s="712">
        <f>transport!D14</f>
        <v>7.3948055559995405</v>
      </c>
      <c r="F19" s="712">
        <f>transport!E14</f>
        <v>415.60179907803968</v>
      </c>
      <c r="G19" s="712">
        <f>transport!F14</f>
        <v>0</v>
      </c>
      <c r="H19" s="712">
        <f>transport!G14</f>
        <v>70983.844269606139</v>
      </c>
      <c r="I19" s="712">
        <f>transport!H14</f>
        <v>16169.172250859241</v>
      </c>
      <c r="J19" s="712">
        <f>transport!I14</f>
        <v>0</v>
      </c>
      <c r="K19" s="712">
        <f>transport!J14</f>
        <v>0</v>
      </c>
      <c r="L19" s="712">
        <f>transport!K14</f>
        <v>0</v>
      </c>
      <c r="M19" s="712">
        <f>transport!L14</f>
        <v>0</v>
      </c>
      <c r="N19" s="712">
        <f>transport!M14</f>
        <v>3900.5454105450622</v>
      </c>
      <c r="O19" s="712">
        <f>transport!N14</f>
        <v>0</v>
      </c>
      <c r="P19" s="712">
        <f>transport!O14</f>
        <v>0</v>
      </c>
      <c r="Q19" s="713">
        <f>transport!P14</f>
        <v>0</v>
      </c>
      <c r="R19" s="714">
        <f>SUM(C19:Q19)</f>
        <v>91478.745421033353</v>
      </c>
      <c r="S19" s="68"/>
    </row>
    <row r="20" spans="1:19" s="458" customFormat="1" ht="15.75" thickBot="1">
      <c r="A20" s="715" t="s">
        <v>230</v>
      </c>
      <c r="B20" s="867"/>
      <c r="C20" s="862">
        <f>SUM(C17:C19)</f>
        <v>2.1868853888729047</v>
      </c>
      <c r="D20" s="716">
        <f t="shared" ref="D20:R20" si="1">SUM(D17:D19)</f>
        <v>0</v>
      </c>
      <c r="E20" s="716">
        <f t="shared" si="1"/>
        <v>7.3948055559995405</v>
      </c>
      <c r="F20" s="716">
        <f t="shared" si="1"/>
        <v>415.60179907803968</v>
      </c>
      <c r="G20" s="716">
        <f t="shared" si="1"/>
        <v>0</v>
      </c>
      <c r="H20" s="716">
        <f t="shared" si="1"/>
        <v>72886.703084705237</v>
      </c>
      <c r="I20" s="716">
        <f t="shared" si="1"/>
        <v>16169.172250859241</v>
      </c>
      <c r="J20" s="716">
        <f t="shared" si="1"/>
        <v>0</v>
      </c>
      <c r="K20" s="716">
        <f t="shared" si="1"/>
        <v>0</v>
      </c>
      <c r="L20" s="716">
        <f t="shared" si="1"/>
        <v>0</v>
      </c>
      <c r="M20" s="716">
        <f t="shared" si="1"/>
        <v>0</v>
      </c>
      <c r="N20" s="716">
        <f t="shared" si="1"/>
        <v>3984.1030800780245</v>
      </c>
      <c r="O20" s="716">
        <f t="shared" si="1"/>
        <v>0</v>
      </c>
      <c r="P20" s="716">
        <f t="shared" si="1"/>
        <v>0</v>
      </c>
      <c r="Q20" s="717">
        <f t="shared" si="1"/>
        <v>0</v>
      </c>
      <c r="R20" s="718">
        <f t="shared" si="1"/>
        <v>93465.161905665416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873.5722459067357</v>
      </c>
      <c r="D22" s="712">
        <f>+landbouw!C8</f>
        <v>6.9285714285714279</v>
      </c>
      <c r="E22" s="712">
        <f>+landbouw!D8</f>
        <v>5100.9929600145615</v>
      </c>
      <c r="F22" s="712">
        <f>+landbouw!E8</f>
        <v>8.2296358690462732</v>
      </c>
      <c r="G22" s="712">
        <f>+landbouw!F8</f>
        <v>2850.7561515609746</v>
      </c>
      <c r="H22" s="712">
        <f>+landbouw!G8</f>
        <v>0</v>
      </c>
      <c r="I22" s="712">
        <f>+landbouw!H8</f>
        <v>0</v>
      </c>
      <c r="J22" s="712">
        <f>+landbouw!I8</f>
        <v>0</v>
      </c>
      <c r="K22" s="712">
        <f>+landbouw!J8</f>
        <v>108.06513587325108</v>
      </c>
      <c r="L22" s="712">
        <f>+landbouw!K8</f>
        <v>0</v>
      </c>
      <c r="M22" s="712">
        <f>+landbouw!L8</f>
        <v>0</v>
      </c>
      <c r="N22" s="712">
        <f>+landbouw!M8</f>
        <v>0</v>
      </c>
      <c r="O22" s="712">
        <f>+landbouw!N8</f>
        <v>0</v>
      </c>
      <c r="P22" s="712">
        <f>+landbouw!O8</f>
        <v>0</v>
      </c>
      <c r="Q22" s="713">
        <f>+landbouw!P8</f>
        <v>0</v>
      </c>
      <c r="R22" s="714">
        <f>SUM(C22:Q22)</f>
        <v>8948.5447006531394</v>
      </c>
      <c r="S22" s="68"/>
    </row>
    <row r="23" spans="1:19" s="458" customFormat="1" ht="17.25" thickTop="1" thickBot="1">
      <c r="A23" s="719" t="s">
        <v>116</v>
      </c>
      <c r="B23" s="853"/>
      <c r="C23" s="720">
        <f ca="1">C20+C15+C22</f>
        <v>31050.790954071901</v>
      </c>
      <c r="D23" s="720">
        <f t="shared" ref="D23:Q23" ca="1" si="2">D20+D15+D22</f>
        <v>6.9285714285714279</v>
      </c>
      <c r="E23" s="720">
        <f t="shared" ca="1" si="2"/>
        <v>37157.705135702323</v>
      </c>
      <c r="F23" s="720">
        <f t="shared" si="2"/>
        <v>3259.5832100978564</v>
      </c>
      <c r="G23" s="720">
        <f t="shared" ca="1" si="2"/>
        <v>33975.697015145277</v>
      </c>
      <c r="H23" s="720">
        <f t="shared" si="2"/>
        <v>72886.703084705237</v>
      </c>
      <c r="I23" s="720">
        <f t="shared" si="2"/>
        <v>16169.172250859241</v>
      </c>
      <c r="J23" s="720">
        <f t="shared" si="2"/>
        <v>0</v>
      </c>
      <c r="K23" s="720">
        <f t="shared" si="2"/>
        <v>1112.7446596163895</v>
      </c>
      <c r="L23" s="720">
        <f t="shared" si="2"/>
        <v>0</v>
      </c>
      <c r="M23" s="720">
        <f t="shared" ca="1" si="2"/>
        <v>0</v>
      </c>
      <c r="N23" s="720">
        <f t="shared" si="2"/>
        <v>3984.1030800780245</v>
      </c>
      <c r="O23" s="720">
        <f t="shared" ca="1" si="2"/>
        <v>5330.102810314288</v>
      </c>
      <c r="P23" s="720">
        <f t="shared" si="2"/>
        <v>54.716666666666669</v>
      </c>
      <c r="Q23" s="721">
        <f t="shared" si="2"/>
        <v>171.6</v>
      </c>
      <c r="R23" s="722">
        <f ca="1">R20+R15+R22</f>
        <v>205159.8474386858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1826.3628114184216</v>
      </c>
      <c r="D36" s="703">
        <f ca="1">tertiair!C20</f>
        <v>0</v>
      </c>
      <c r="E36" s="703">
        <f ca="1">tertiair!D20</f>
        <v>1531.1566525205924</v>
      </c>
      <c r="F36" s="703">
        <f>tertiair!E20</f>
        <v>17.787431650222331</v>
      </c>
      <c r="G36" s="703">
        <f ca="1">tertiair!F20</f>
        <v>449.56327769031242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3824.8701732795489</v>
      </c>
    </row>
    <row r="37" spans="1:18">
      <c r="A37" s="874" t="s">
        <v>225</v>
      </c>
      <c r="B37" s="881"/>
      <c r="C37" s="703">
        <f ca="1">huishoudens!B12</f>
        <v>3986.9544427393685</v>
      </c>
      <c r="D37" s="703">
        <f ca="1">huishoudens!C12</f>
        <v>0</v>
      </c>
      <c r="E37" s="703">
        <f>huishoudens!D12</f>
        <v>4776.244225432778</v>
      </c>
      <c r="F37" s="703">
        <f>huishoudens!E12</f>
        <v>621.21874071206446</v>
      </c>
      <c r="G37" s="703">
        <f>huishoudens!F12</f>
        <v>7533.7228911631355</v>
      </c>
      <c r="H37" s="703">
        <f>huishoudens!G12</f>
        <v>0</v>
      </c>
      <c r="I37" s="703">
        <f>huishoudens!H12</f>
        <v>0</v>
      </c>
      <c r="J37" s="703">
        <f>huishoudens!I12</f>
        <v>0</v>
      </c>
      <c r="K37" s="703">
        <f>huishoudens!J12</f>
        <v>353.00943534494036</v>
      </c>
      <c r="L37" s="703">
        <f>huishoudens!K12</f>
        <v>0</v>
      </c>
      <c r="M37" s="703">
        <f>huishoudens!L12</f>
        <v>0</v>
      </c>
      <c r="N37" s="703">
        <f>huishoudens!M12</f>
        <v>0</v>
      </c>
      <c r="O37" s="703">
        <f>huishoudens!N12</f>
        <v>0</v>
      </c>
      <c r="P37" s="703">
        <f>huishoudens!O12</f>
        <v>0</v>
      </c>
      <c r="Q37" s="813">
        <f>huishoudens!P12</f>
        <v>0</v>
      </c>
      <c r="R37" s="906">
        <f ca="1">SUM(C37:Q37)</f>
        <v>17271.149735392282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575.08790805038313</v>
      </c>
      <c r="D39" s="703">
        <f ca="1">industrie!C22</f>
        <v>0</v>
      </c>
      <c r="E39" s="703">
        <f>industrie!D22</f>
        <v>166.56123081324583</v>
      </c>
      <c r="F39" s="703">
        <f>industrie!E22</f>
        <v>4.7094805969381435</v>
      </c>
      <c r="G39" s="703">
        <f>industrie!F22</f>
        <v>327.07304172356191</v>
      </c>
      <c r="H39" s="703">
        <f>industrie!G22</f>
        <v>0</v>
      </c>
      <c r="I39" s="703">
        <f>industrie!H22</f>
        <v>0</v>
      </c>
      <c r="J39" s="703">
        <f>industrie!I22</f>
        <v>0</v>
      </c>
      <c r="K39" s="703">
        <f>industrie!J22</f>
        <v>2.6471160601306418</v>
      </c>
      <c r="L39" s="703">
        <f>industrie!K22</f>
        <v>0</v>
      </c>
      <c r="M39" s="703">
        <f>industrie!L22</f>
        <v>0</v>
      </c>
      <c r="N39" s="703">
        <f>industrie!M22</f>
        <v>0</v>
      </c>
      <c r="O39" s="703">
        <f>industrie!N22</f>
        <v>0</v>
      </c>
      <c r="P39" s="703">
        <f>industrie!O22</f>
        <v>0</v>
      </c>
      <c r="Q39" s="813">
        <f>industrie!P22</f>
        <v>0</v>
      </c>
      <c r="R39" s="907">
        <f ca="1">SUM(C39:Q39)</f>
        <v>1076.0787772442598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6388.4051622081724</v>
      </c>
      <c r="D41" s="748">
        <f t="shared" ref="D41:R41" ca="1" si="4">SUM(D35:D40)</f>
        <v>0</v>
      </c>
      <c r="E41" s="748">
        <f t="shared" ca="1" si="4"/>
        <v>6473.9621087666164</v>
      </c>
      <c r="F41" s="748">
        <f t="shared" si="4"/>
        <v>643.71565295922494</v>
      </c>
      <c r="G41" s="748">
        <f t="shared" ca="1" si="4"/>
        <v>8310.3592105770094</v>
      </c>
      <c r="H41" s="748">
        <f t="shared" si="4"/>
        <v>0</v>
      </c>
      <c r="I41" s="748">
        <f t="shared" si="4"/>
        <v>0</v>
      </c>
      <c r="J41" s="748">
        <f t="shared" si="4"/>
        <v>0</v>
      </c>
      <c r="K41" s="748">
        <f t="shared" si="4"/>
        <v>355.65655140507101</v>
      </c>
      <c r="L41" s="748">
        <f t="shared" si="4"/>
        <v>0</v>
      </c>
      <c r="M41" s="748">
        <f t="shared" ca="1" si="4"/>
        <v>0</v>
      </c>
      <c r="N41" s="748">
        <f t="shared" si="4"/>
        <v>0</v>
      </c>
      <c r="O41" s="748">
        <f t="shared" ca="1" si="4"/>
        <v>0</v>
      </c>
      <c r="P41" s="748">
        <f t="shared" si="4"/>
        <v>0</v>
      </c>
      <c r="Q41" s="749">
        <f t="shared" si="4"/>
        <v>0</v>
      </c>
      <c r="R41" s="750">
        <f t="shared" ca="1" si="4"/>
        <v>22172.098685916091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508.06330363145872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508.06330363145872</v>
      </c>
    </row>
    <row r="45" spans="1:18" ht="15" thickBot="1">
      <c r="A45" s="877" t="s">
        <v>307</v>
      </c>
      <c r="B45" s="887"/>
      <c r="C45" s="712">
        <f ca="1">transport!B18</f>
        <v>0.46298906955545011</v>
      </c>
      <c r="D45" s="712">
        <f>transport!C18</f>
        <v>0</v>
      </c>
      <c r="E45" s="712">
        <f>transport!D18</f>
        <v>1.4937507223119073</v>
      </c>
      <c r="F45" s="712">
        <f>transport!E18</f>
        <v>94.34160839071501</v>
      </c>
      <c r="G45" s="712">
        <f>transport!F18</f>
        <v>0</v>
      </c>
      <c r="H45" s="712">
        <f>transport!G18</f>
        <v>18952.686419984839</v>
      </c>
      <c r="I45" s="712">
        <f>transport!H18</f>
        <v>4026.1238904639508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23075.108658631372</v>
      </c>
    </row>
    <row r="46" spans="1:18" ht="15.75" thickBot="1">
      <c r="A46" s="875" t="s">
        <v>230</v>
      </c>
      <c r="B46" s="888"/>
      <c r="C46" s="748">
        <f t="shared" ref="C46:R46" ca="1" si="5">SUM(C43:C45)</f>
        <v>0.46298906955545011</v>
      </c>
      <c r="D46" s="748">
        <f t="shared" ca="1" si="5"/>
        <v>0</v>
      </c>
      <c r="E46" s="748">
        <f t="shared" si="5"/>
        <v>1.4937507223119073</v>
      </c>
      <c r="F46" s="748">
        <f t="shared" si="5"/>
        <v>94.34160839071501</v>
      </c>
      <c r="G46" s="748">
        <f t="shared" si="5"/>
        <v>0</v>
      </c>
      <c r="H46" s="748">
        <f t="shared" si="5"/>
        <v>19460.749723616296</v>
      </c>
      <c r="I46" s="748">
        <f t="shared" si="5"/>
        <v>4026.1238904639508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23583.17196226283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184.94540380567247</v>
      </c>
      <c r="D48" s="703">
        <f ca="1">+landbouw!C12</f>
        <v>1.6465546218487395</v>
      </c>
      <c r="E48" s="703">
        <f>+landbouw!D12</f>
        <v>1030.4005779229415</v>
      </c>
      <c r="F48" s="703">
        <f>+landbouw!E12</f>
        <v>1.8681273422735041</v>
      </c>
      <c r="G48" s="703">
        <f>+landbouw!F12</f>
        <v>761.15189246678028</v>
      </c>
      <c r="H48" s="703">
        <f>+landbouw!G12</f>
        <v>0</v>
      </c>
      <c r="I48" s="703">
        <f>+landbouw!H12</f>
        <v>0</v>
      </c>
      <c r="J48" s="703">
        <f>+landbouw!I12</f>
        <v>0</v>
      </c>
      <c r="K48" s="703">
        <f>+landbouw!J12</f>
        <v>38.255058099130878</v>
      </c>
      <c r="L48" s="703">
        <f>+landbouw!K12</f>
        <v>0</v>
      </c>
      <c r="M48" s="703">
        <f>+landbouw!L12</f>
        <v>0</v>
      </c>
      <c r="N48" s="703">
        <f>+landbouw!M12</f>
        <v>0</v>
      </c>
      <c r="O48" s="703">
        <f>+landbouw!N12</f>
        <v>0</v>
      </c>
      <c r="P48" s="703">
        <f>+landbouw!O12</f>
        <v>0</v>
      </c>
      <c r="Q48" s="704">
        <f>+landbouw!P12</f>
        <v>0</v>
      </c>
      <c r="R48" s="746">
        <f ca="1">SUM(C48:Q48)</f>
        <v>2018.2676142586472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6573.8135550834004</v>
      </c>
      <c r="D53" s="758">
        <f t="shared" ref="D53:Q53" ca="1" si="6">D41+D46+D48</f>
        <v>1.6465546218487395</v>
      </c>
      <c r="E53" s="758">
        <f t="shared" ca="1" si="6"/>
        <v>7505.8564374118705</v>
      </c>
      <c r="F53" s="758">
        <f t="shared" si="6"/>
        <v>739.92538869221346</v>
      </c>
      <c r="G53" s="758">
        <f t="shared" ca="1" si="6"/>
        <v>9071.5111030437893</v>
      </c>
      <c r="H53" s="758">
        <f t="shared" si="6"/>
        <v>19460.749723616296</v>
      </c>
      <c r="I53" s="758">
        <f t="shared" si="6"/>
        <v>4026.1238904639508</v>
      </c>
      <c r="J53" s="758">
        <f t="shared" si="6"/>
        <v>0</v>
      </c>
      <c r="K53" s="758">
        <f t="shared" si="6"/>
        <v>393.91160950420192</v>
      </c>
      <c r="L53" s="758">
        <f t="shared" si="6"/>
        <v>0</v>
      </c>
      <c r="M53" s="758">
        <f t="shared" ca="1" si="6"/>
        <v>0</v>
      </c>
      <c r="N53" s="758">
        <f t="shared" si="6"/>
        <v>0</v>
      </c>
      <c r="O53" s="758">
        <f t="shared" ca="1" si="6"/>
        <v>0</v>
      </c>
      <c r="P53" s="758">
        <f>P41+P46+P48</f>
        <v>0</v>
      </c>
      <c r="Q53" s="759">
        <f t="shared" si="6"/>
        <v>0</v>
      </c>
      <c r="R53" s="760">
        <f ca="1">R41+R46+R48</f>
        <v>47773.538262437571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0.21171162965886806</v>
      </c>
      <c r="D55" s="824">
        <f t="shared" ca="1" si="7"/>
        <v>0.23764705882352943</v>
      </c>
      <c r="E55" s="824">
        <f t="shared" ca="1" si="7"/>
        <v>0.20200000000000004</v>
      </c>
      <c r="F55" s="824">
        <f t="shared" si="7"/>
        <v>0.22700000000000001</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1305.3935927682487</v>
      </c>
      <c r="C66" s="780">
        <f>'lokale energieproductie'!B6</f>
        <v>1305.3935927682487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4.8499999999999996</v>
      </c>
      <c r="C67" s="779">
        <f>B67*IFERROR(SUM(J67:L67)/SUM(D67:M67),0)</f>
        <v>0</v>
      </c>
      <c r="D67" s="811">
        <f>'lokale energieproductie'!C7</f>
        <v>5.7058823529411766</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1.1525882352941177</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1310.2435927682486</v>
      </c>
      <c r="C69" s="788">
        <f>SUM(C64:C68)</f>
        <v>1305.3935927682487</v>
      </c>
      <c r="D69" s="789">
        <f t="shared" ref="D69:M69" si="8">SUM(D67:D68)</f>
        <v>5.7058823529411766</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1.1525882352941177</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6.9285714285714279</v>
      </c>
      <c r="C78" s="802">
        <f>B78*IFERROR(SUM(I78:L78)/SUM(D78:M78),0)</f>
        <v>0</v>
      </c>
      <c r="D78" s="817">
        <f>'lokale energieproductie'!C16</f>
        <v>8.1512605042016801</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1.6465546218487395</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6.9285714285714279</v>
      </c>
      <c r="C81" s="788">
        <f>SUM(C78:C80)</f>
        <v>0</v>
      </c>
      <c r="D81" s="788">
        <f t="shared" ref="D81:P81" si="9">SUM(D78:D80)</f>
        <v>8.1512605042016801</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1.6465546218487395</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18832.004879295324</v>
      </c>
      <c r="C4" s="462">
        <f>huishoudens!C8</f>
        <v>0</v>
      </c>
      <c r="D4" s="462">
        <f>huishoudens!D8</f>
        <v>23644.773393231571</v>
      </c>
      <c r="E4" s="462">
        <f>huishoudens!E8</f>
        <v>2736.6464348549093</v>
      </c>
      <c r="F4" s="462">
        <f>huishoudens!F8</f>
        <v>28216.190603607247</v>
      </c>
      <c r="G4" s="462">
        <f>huishoudens!G8</f>
        <v>0</v>
      </c>
      <c r="H4" s="462">
        <f>huishoudens!H8</f>
        <v>0</v>
      </c>
      <c r="I4" s="462">
        <f>huishoudens!I8</f>
        <v>0</v>
      </c>
      <c r="J4" s="462">
        <f>huishoudens!J8</f>
        <v>997.2017947597185</v>
      </c>
      <c r="K4" s="462">
        <f>huishoudens!K8</f>
        <v>0</v>
      </c>
      <c r="L4" s="462">
        <f>huishoudens!L8</f>
        <v>0</v>
      </c>
      <c r="M4" s="462">
        <f>huishoudens!M8</f>
        <v>0</v>
      </c>
      <c r="N4" s="462">
        <f>huishoudens!N8</f>
        <v>4837.4321929882726</v>
      </c>
      <c r="O4" s="462">
        <f>huishoudens!O8</f>
        <v>54.716666666666669</v>
      </c>
      <c r="P4" s="463">
        <f>huishoudens!P8</f>
        <v>171.6</v>
      </c>
      <c r="Q4" s="464">
        <f>SUM(B4:P4)</f>
        <v>79490.565965403715</v>
      </c>
    </row>
    <row r="5" spans="1:17">
      <c r="A5" s="461" t="s">
        <v>156</v>
      </c>
      <c r="B5" s="462">
        <f ca="1">tertiair!B16</f>
        <v>8040.2512186316289</v>
      </c>
      <c r="C5" s="462">
        <f ca="1">tertiair!C16</f>
        <v>0</v>
      </c>
      <c r="D5" s="462">
        <f ca="1">tertiair!D16</f>
        <v>7579.9834283197633</v>
      </c>
      <c r="E5" s="462">
        <f>tertiair!E16</f>
        <v>78.358729736662255</v>
      </c>
      <c r="F5" s="462">
        <f ca="1">tertiair!F16</f>
        <v>1683.7575943457393</v>
      </c>
      <c r="G5" s="462">
        <f>tertiair!G16</f>
        <v>0</v>
      </c>
      <c r="H5" s="462">
        <f>tertiair!H16</f>
        <v>0</v>
      </c>
      <c r="I5" s="462">
        <f>tertiair!I16</f>
        <v>0</v>
      </c>
      <c r="J5" s="462">
        <f>tertiair!J16</f>
        <v>0</v>
      </c>
      <c r="K5" s="462">
        <f>tertiair!K16</f>
        <v>0</v>
      </c>
      <c r="L5" s="462">
        <f ca="1">tertiair!L16</f>
        <v>0</v>
      </c>
      <c r="M5" s="462">
        <f>tertiair!M16</f>
        <v>0</v>
      </c>
      <c r="N5" s="462">
        <f ca="1">tertiair!N16</f>
        <v>358.14485417856963</v>
      </c>
      <c r="O5" s="462">
        <f>tertiair!O16</f>
        <v>0</v>
      </c>
      <c r="P5" s="463">
        <f>tertiair!P16</f>
        <v>0</v>
      </c>
      <c r="Q5" s="461">
        <f t="shared" ref="Q5:Q13" ca="1" si="0">SUM(B5:P5)</f>
        <v>17740.495825212362</v>
      </c>
    </row>
    <row r="6" spans="1:17">
      <c r="A6" s="461" t="s">
        <v>194</v>
      </c>
      <c r="B6" s="462">
        <f>'openbare verlichting'!B8</f>
        <v>586.40200000000004</v>
      </c>
      <c r="C6" s="462"/>
      <c r="D6" s="462"/>
      <c r="E6" s="462"/>
      <c r="F6" s="462"/>
      <c r="G6" s="462"/>
      <c r="H6" s="462"/>
      <c r="I6" s="462"/>
      <c r="J6" s="462"/>
      <c r="K6" s="462"/>
      <c r="L6" s="462"/>
      <c r="M6" s="462"/>
      <c r="N6" s="462"/>
      <c r="O6" s="462"/>
      <c r="P6" s="463"/>
      <c r="Q6" s="461">
        <f t="shared" si="0"/>
        <v>586.40200000000004</v>
      </c>
    </row>
    <row r="7" spans="1:17">
      <c r="A7" s="461" t="s">
        <v>112</v>
      </c>
      <c r="B7" s="462">
        <f>landbouw!B8</f>
        <v>873.5722459067357</v>
      </c>
      <c r="C7" s="462">
        <f>landbouw!C8</f>
        <v>6.9285714285714279</v>
      </c>
      <c r="D7" s="462">
        <f>landbouw!D8</f>
        <v>5100.9929600145615</v>
      </c>
      <c r="E7" s="462">
        <f>landbouw!E8</f>
        <v>8.2296358690462732</v>
      </c>
      <c r="F7" s="462">
        <f>landbouw!F8</f>
        <v>2850.7561515609746</v>
      </c>
      <c r="G7" s="462">
        <f>landbouw!G8</f>
        <v>0</v>
      </c>
      <c r="H7" s="462">
        <f>landbouw!H8</f>
        <v>0</v>
      </c>
      <c r="I7" s="462">
        <f>landbouw!I8</f>
        <v>0</v>
      </c>
      <c r="J7" s="462">
        <f>landbouw!J8</f>
        <v>108.06513587325108</v>
      </c>
      <c r="K7" s="462">
        <f>landbouw!K8</f>
        <v>0</v>
      </c>
      <c r="L7" s="462">
        <f>landbouw!L8</f>
        <v>0</v>
      </c>
      <c r="M7" s="462">
        <f>landbouw!M8</f>
        <v>0</v>
      </c>
      <c r="N7" s="462">
        <f>landbouw!N8</f>
        <v>0</v>
      </c>
      <c r="O7" s="462">
        <f>landbouw!O8</f>
        <v>0</v>
      </c>
      <c r="P7" s="463">
        <f>landbouw!P8</f>
        <v>0</v>
      </c>
      <c r="Q7" s="461">
        <f t="shared" si="0"/>
        <v>8948.5447006531394</v>
      </c>
    </row>
    <row r="8" spans="1:17">
      <c r="A8" s="461" t="s">
        <v>685</v>
      </c>
      <c r="B8" s="462">
        <f>industrie!B18</f>
        <v>2716.373724849338</v>
      </c>
      <c r="C8" s="462">
        <f>industrie!C18</f>
        <v>0</v>
      </c>
      <c r="D8" s="462">
        <f>industrie!D18</f>
        <v>824.56054858042489</v>
      </c>
      <c r="E8" s="462">
        <f>industrie!E18</f>
        <v>20.746610559198871</v>
      </c>
      <c r="F8" s="462">
        <f>industrie!F18</f>
        <v>1224.992665631318</v>
      </c>
      <c r="G8" s="462">
        <f>industrie!G18</f>
        <v>0</v>
      </c>
      <c r="H8" s="462">
        <f>industrie!H18</f>
        <v>0</v>
      </c>
      <c r="I8" s="462">
        <f>industrie!I18</f>
        <v>0</v>
      </c>
      <c r="J8" s="462">
        <f>industrie!J18</f>
        <v>7.4777289834198921</v>
      </c>
      <c r="K8" s="462">
        <f>industrie!K18</f>
        <v>0</v>
      </c>
      <c r="L8" s="462">
        <f>industrie!L18</f>
        <v>0</v>
      </c>
      <c r="M8" s="462">
        <f>industrie!M18</f>
        <v>0</v>
      </c>
      <c r="N8" s="462">
        <f>industrie!N18</f>
        <v>134.52576314744618</v>
      </c>
      <c r="O8" s="462">
        <f>industrie!O18</f>
        <v>0</v>
      </c>
      <c r="P8" s="463">
        <f>industrie!P18</f>
        <v>0</v>
      </c>
      <c r="Q8" s="461">
        <f t="shared" si="0"/>
        <v>4928.6770417511461</v>
      </c>
    </row>
    <row r="9" spans="1:17" s="467" customFormat="1">
      <c r="A9" s="465" t="s">
        <v>579</v>
      </c>
      <c r="B9" s="466">
        <f>transport!B14</f>
        <v>2.1868853888729047</v>
      </c>
      <c r="C9" s="466">
        <f>transport!C14</f>
        <v>0</v>
      </c>
      <c r="D9" s="466">
        <f>transport!D14</f>
        <v>7.3948055559995405</v>
      </c>
      <c r="E9" s="466">
        <f>transport!E14</f>
        <v>415.60179907803968</v>
      </c>
      <c r="F9" s="466">
        <f>transport!F14</f>
        <v>0</v>
      </c>
      <c r="G9" s="466">
        <f>transport!G14</f>
        <v>70983.844269606139</v>
      </c>
      <c r="H9" s="466">
        <f>transport!H14</f>
        <v>16169.172250859241</v>
      </c>
      <c r="I9" s="466">
        <f>transport!I14</f>
        <v>0</v>
      </c>
      <c r="J9" s="466">
        <f>transport!J14</f>
        <v>0</v>
      </c>
      <c r="K9" s="466">
        <f>transport!K14</f>
        <v>0</v>
      </c>
      <c r="L9" s="466">
        <f>transport!L14</f>
        <v>0</v>
      </c>
      <c r="M9" s="466">
        <f>transport!M14</f>
        <v>3900.5454105450622</v>
      </c>
      <c r="N9" s="466">
        <f>transport!N14</f>
        <v>0</v>
      </c>
      <c r="O9" s="466">
        <f>transport!O14</f>
        <v>0</v>
      </c>
      <c r="P9" s="466">
        <f>transport!P14</f>
        <v>0</v>
      </c>
      <c r="Q9" s="465">
        <f>SUM(B9:P9)</f>
        <v>91478.745421033353</v>
      </c>
    </row>
    <row r="10" spans="1:17">
      <c r="A10" s="461" t="s">
        <v>569</v>
      </c>
      <c r="B10" s="462">
        <f>transport!B54</f>
        <v>0</v>
      </c>
      <c r="C10" s="462">
        <f>transport!C54</f>
        <v>0</v>
      </c>
      <c r="D10" s="462">
        <f>transport!D54</f>
        <v>0</v>
      </c>
      <c r="E10" s="462">
        <f>transport!E54</f>
        <v>0</v>
      </c>
      <c r="F10" s="462">
        <f>transport!F54</f>
        <v>0</v>
      </c>
      <c r="G10" s="462">
        <f>transport!G54</f>
        <v>1902.8588150990963</v>
      </c>
      <c r="H10" s="462">
        <f>transport!H54</f>
        <v>0</v>
      </c>
      <c r="I10" s="462">
        <f>transport!I54</f>
        <v>0</v>
      </c>
      <c r="J10" s="462">
        <f>transport!J54</f>
        <v>0</v>
      </c>
      <c r="K10" s="462">
        <f>transport!K54</f>
        <v>0</v>
      </c>
      <c r="L10" s="462">
        <f>transport!L54</f>
        <v>0</v>
      </c>
      <c r="M10" s="462">
        <f>transport!M54</f>
        <v>83.557669532962308</v>
      </c>
      <c r="N10" s="462">
        <f>transport!N54</f>
        <v>0</v>
      </c>
      <c r="O10" s="462">
        <f>transport!O54</f>
        <v>0</v>
      </c>
      <c r="P10" s="463">
        <f>transport!P54</f>
        <v>0</v>
      </c>
      <c r="Q10" s="461">
        <f t="shared" si="0"/>
        <v>1986.4164846320587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31050.790954071905</v>
      </c>
      <c r="C14" s="472">
        <f t="shared" ref="C14:Q14" ca="1" si="1">SUM(C4:C13)</f>
        <v>6.9285714285714279</v>
      </c>
      <c r="D14" s="472">
        <f t="shared" ca="1" si="1"/>
        <v>37157.705135702323</v>
      </c>
      <c r="E14" s="472">
        <f t="shared" si="1"/>
        <v>3259.5832100978564</v>
      </c>
      <c r="F14" s="472">
        <f t="shared" ca="1" si="1"/>
        <v>33975.697015145277</v>
      </c>
      <c r="G14" s="472">
        <f t="shared" si="1"/>
        <v>72886.703084705237</v>
      </c>
      <c r="H14" s="472">
        <f t="shared" si="1"/>
        <v>16169.172250859241</v>
      </c>
      <c r="I14" s="472">
        <f t="shared" si="1"/>
        <v>0</v>
      </c>
      <c r="J14" s="472">
        <f t="shared" si="1"/>
        <v>1112.7446596163895</v>
      </c>
      <c r="K14" s="472">
        <f t="shared" si="1"/>
        <v>0</v>
      </c>
      <c r="L14" s="472">
        <f t="shared" ca="1" si="1"/>
        <v>0</v>
      </c>
      <c r="M14" s="472">
        <f t="shared" si="1"/>
        <v>3984.1030800780245</v>
      </c>
      <c r="N14" s="472">
        <f t="shared" ca="1" si="1"/>
        <v>5330.102810314288</v>
      </c>
      <c r="O14" s="472">
        <f t="shared" si="1"/>
        <v>54.716666666666669</v>
      </c>
      <c r="P14" s="473">
        <f t="shared" si="1"/>
        <v>171.6</v>
      </c>
      <c r="Q14" s="473">
        <f t="shared" ca="1" si="1"/>
        <v>205159.84743868577</v>
      </c>
    </row>
    <row r="16" spans="1:17">
      <c r="A16" s="475" t="s">
        <v>574</v>
      </c>
      <c r="B16" s="829">
        <f ca="1">huishoudens!B10</f>
        <v>0.21171162965886808</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3986.9544427393685</v>
      </c>
      <c r="C21" s="462">
        <f t="shared" ref="C21:C30" ca="1" si="3">C4*$C$16</f>
        <v>0</v>
      </c>
      <c r="D21" s="462">
        <f t="shared" ref="D21:D30" si="4">D4*$D$16</f>
        <v>4776.244225432778</v>
      </c>
      <c r="E21" s="462">
        <f t="shared" ref="E21:E30" si="5">E4*$E$16</f>
        <v>621.21874071206446</v>
      </c>
      <c r="F21" s="462">
        <f t="shared" ref="F21:F30" si="6">F4*$F$16</f>
        <v>7533.7228911631355</v>
      </c>
      <c r="G21" s="462">
        <f t="shared" ref="G21:G30" si="7">G4*$G$16</f>
        <v>0</v>
      </c>
      <c r="H21" s="462">
        <f t="shared" ref="H21:H30" si="8">H4*$H$16</f>
        <v>0</v>
      </c>
      <c r="I21" s="462">
        <f t="shared" ref="I21:I30" si="9">I4*$I$16</f>
        <v>0</v>
      </c>
      <c r="J21" s="462">
        <f t="shared" ref="J21:J30" si="10">J4*$J$16</f>
        <v>353.00943534494036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17271.149735392282</v>
      </c>
    </row>
    <row r="22" spans="1:17">
      <c r="A22" s="461" t="s">
        <v>156</v>
      </c>
      <c r="B22" s="462">
        <f t="shared" ca="1" si="2"/>
        <v>1702.2146883632022</v>
      </c>
      <c r="C22" s="462">
        <f t="shared" ca="1" si="3"/>
        <v>0</v>
      </c>
      <c r="D22" s="462">
        <f t="shared" ca="1" si="4"/>
        <v>1531.1566525205924</v>
      </c>
      <c r="E22" s="462">
        <f t="shared" si="5"/>
        <v>17.787431650222331</v>
      </c>
      <c r="F22" s="462">
        <f t="shared" ca="1" si="6"/>
        <v>449.56327769031242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3700.7220502243299</v>
      </c>
    </row>
    <row r="23" spans="1:17">
      <c r="A23" s="461" t="s">
        <v>194</v>
      </c>
      <c r="B23" s="462">
        <f t="shared" ca="1" si="2"/>
        <v>124.14812305521957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124.14812305521957</v>
      </c>
    </row>
    <row r="24" spans="1:17">
      <c r="A24" s="461" t="s">
        <v>112</v>
      </c>
      <c r="B24" s="462">
        <f t="shared" ca="1" si="2"/>
        <v>184.94540380567247</v>
      </c>
      <c r="C24" s="462">
        <f t="shared" ca="1" si="3"/>
        <v>1.6465546218487395</v>
      </c>
      <c r="D24" s="462">
        <f t="shared" si="4"/>
        <v>1030.4005779229415</v>
      </c>
      <c r="E24" s="462">
        <f t="shared" si="5"/>
        <v>1.8681273422735041</v>
      </c>
      <c r="F24" s="462">
        <f t="shared" si="6"/>
        <v>761.15189246678028</v>
      </c>
      <c r="G24" s="462">
        <f t="shared" si="7"/>
        <v>0</v>
      </c>
      <c r="H24" s="462">
        <f t="shared" si="8"/>
        <v>0</v>
      </c>
      <c r="I24" s="462">
        <f t="shared" si="9"/>
        <v>0</v>
      </c>
      <c r="J24" s="462">
        <f t="shared" si="10"/>
        <v>38.255058099130878</v>
      </c>
      <c r="K24" s="462">
        <f t="shared" si="11"/>
        <v>0</v>
      </c>
      <c r="L24" s="462">
        <f t="shared" si="12"/>
        <v>0</v>
      </c>
      <c r="M24" s="462">
        <f t="shared" si="13"/>
        <v>0</v>
      </c>
      <c r="N24" s="462">
        <f t="shared" si="14"/>
        <v>0</v>
      </c>
      <c r="O24" s="462">
        <f t="shared" si="15"/>
        <v>0</v>
      </c>
      <c r="P24" s="463">
        <f t="shared" si="16"/>
        <v>0</v>
      </c>
      <c r="Q24" s="461">
        <f t="shared" ca="1" si="17"/>
        <v>2018.2676142586472</v>
      </c>
    </row>
    <row r="25" spans="1:17">
      <c r="A25" s="461" t="s">
        <v>685</v>
      </c>
      <c r="B25" s="462">
        <f t="shared" ca="1" si="2"/>
        <v>575.08790805038313</v>
      </c>
      <c r="C25" s="462">
        <f t="shared" ca="1" si="3"/>
        <v>0</v>
      </c>
      <c r="D25" s="462">
        <f t="shared" si="4"/>
        <v>166.56123081324583</v>
      </c>
      <c r="E25" s="462">
        <f t="shared" si="5"/>
        <v>4.7094805969381435</v>
      </c>
      <c r="F25" s="462">
        <f t="shared" si="6"/>
        <v>327.07304172356191</v>
      </c>
      <c r="G25" s="462">
        <f t="shared" si="7"/>
        <v>0</v>
      </c>
      <c r="H25" s="462">
        <f t="shared" si="8"/>
        <v>0</v>
      </c>
      <c r="I25" s="462">
        <f t="shared" si="9"/>
        <v>0</v>
      </c>
      <c r="J25" s="462">
        <f t="shared" si="10"/>
        <v>2.6471160601306418</v>
      </c>
      <c r="K25" s="462">
        <f t="shared" si="11"/>
        <v>0</v>
      </c>
      <c r="L25" s="462">
        <f t="shared" si="12"/>
        <v>0</v>
      </c>
      <c r="M25" s="462">
        <f t="shared" si="13"/>
        <v>0</v>
      </c>
      <c r="N25" s="462">
        <f t="shared" si="14"/>
        <v>0</v>
      </c>
      <c r="O25" s="462">
        <f t="shared" si="15"/>
        <v>0</v>
      </c>
      <c r="P25" s="463">
        <f t="shared" si="16"/>
        <v>0</v>
      </c>
      <c r="Q25" s="461">
        <f t="shared" ca="1" si="17"/>
        <v>1076.0787772442598</v>
      </c>
    </row>
    <row r="26" spans="1:17" s="467" customFormat="1">
      <c r="A26" s="465" t="s">
        <v>579</v>
      </c>
      <c r="B26" s="823">
        <f t="shared" ca="1" si="2"/>
        <v>0.46298906955545011</v>
      </c>
      <c r="C26" s="466">
        <f t="shared" ca="1" si="3"/>
        <v>0</v>
      </c>
      <c r="D26" s="466">
        <f t="shared" si="4"/>
        <v>1.4937507223119073</v>
      </c>
      <c r="E26" s="466">
        <f t="shared" si="5"/>
        <v>94.34160839071501</v>
      </c>
      <c r="F26" s="466">
        <f t="shared" si="6"/>
        <v>0</v>
      </c>
      <c r="G26" s="466">
        <f t="shared" si="7"/>
        <v>18952.686419984839</v>
      </c>
      <c r="H26" s="466">
        <f t="shared" si="8"/>
        <v>4026.1238904639508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23075.108658631372</v>
      </c>
    </row>
    <row r="27" spans="1:17">
      <c r="A27" s="461" t="s">
        <v>569</v>
      </c>
      <c r="B27" s="462">
        <f t="shared" ca="1" si="2"/>
        <v>0</v>
      </c>
      <c r="C27" s="462">
        <f t="shared" ca="1" si="3"/>
        <v>0</v>
      </c>
      <c r="D27" s="462">
        <f t="shared" si="4"/>
        <v>0</v>
      </c>
      <c r="E27" s="462">
        <f t="shared" si="5"/>
        <v>0</v>
      </c>
      <c r="F27" s="462">
        <f t="shared" si="6"/>
        <v>0</v>
      </c>
      <c r="G27" s="462">
        <f t="shared" si="7"/>
        <v>508.06330363145872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508.06330363145872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6573.8135550834013</v>
      </c>
      <c r="C31" s="472">
        <f t="shared" ca="1" si="18"/>
        <v>1.6465546218487395</v>
      </c>
      <c r="D31" s="472">
        <f t="shared" ca="1" si="18"/>
        <v>7505.8564374118696</v>
      </c>
      <c r="E31" s="472">
        <f t="shared" si="18"/>
        <v>739.92538869221346</v>
      </c>
      <c r="F31" s="472">
        <f t="shared" ca="1" si="18"/>
        <v>9071.5111030437911</v>
      </c>
      <c r="G31" s="472">
        <f t="shared" si="18"/>
        <v>19460.749723616296</v>
      </c>
      <c r="H31" s="472">
        <f t="shared" si="18"/>
        <v>4026.1238904639508</v>
      </c>
      <c r="I31" s="472">
        <f t="shared" si="18"/>
        <v>0</v>
      </c>
      <c r="J31" s="472">
        <f t="shared" si="18"/>
        <v>393.91160950420192</v>
      </c>
      <c r="K31" s="472">
        <f t="shared" si="18"/>
        <v>0</v>
      </c>
      <c r="L31" s="472">
        <f t="shared" ca="1" si="18"/>
        <v>0</v>
      </c>
      <c r="M31" s="472">
        <f t="shared" si="18"/>
        <v>0</v>
      </c>
      <c r="N31" s="472">
        <f t="shared" ca="1" si="18"/>
        <v>0</v>
      </c>
      <c r="O31" s="472">
        <f t="shared" si="18"/>
        <v>0</v>
      </c>
      <c r="P31" s="473">
        <f t="shared" si="18"/>
        <v>0</v>
      </c>
      <c r="Q31" s="473">
        <f t="shared" ca="1" si="18"/>
        <v>47773.538262437571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0.21171162965886808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0.21171162965886808</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0.21171162965886808</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3533</v>
      </c>
      <c r="C9" s="338">
        <v>3552</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1824</v>
      </c>
    </row>
    <row r="15" spans="1:6">
      <c r="A15" s="1205" t="s">
        <v>184</v>
      </c>
      <c r="B15" s="335">
        <v>15</v>
      </c>
    </row>
    <row r="16" spans="1:6">
      <c r="A16" s="1205" t="s">
        <v>6</v>
      </c>
      <c r="B16" s="335">
        <v>505</v>
      </c>
    </row>
    <row r="17" spans="1:6">
      <c r="A17" s="1205" t="s">
        <v>7</v>
      </c>
      <c r="B17" s="335">
        <v>620</v>
      </c>
    </row>
    <row r="18" spans="1:6">
      <c r="A18" s="1205" t="s">
        <v>8</v>
      </c>
      <c r="B18" s="335">
        <v>746</v>
      </c>
    </row>
    <row r="19" spans="1:6">
      <c r="A19" s="1205" t="s">
        <v>9</v>
      </c>
      <c r="B19" s="335">
        <v>595</v>
      </c>
    </row>
    <row r="20" spans="1:6">
      <c r="A20" s="1205" t="s">
        <v>10</v>
      </c>
      <c r="B20" s="335">
        <v>494</v>
      </c>
    </row>
    <row r="21" spans="1:6">
      <c r="A21" s="1205" t="s">
        <v>11</v>
      </c>
      <c r="B21" s="335">
        <v>8</v>
      </c>
    </row>
    <row r="22" spans="1:6">
      <c r="A22" s="1205" t="s">
        <v>12</v>
      </c>
      <c r="B22" s="335">
        <v>11</v>
      </c>
    </row>
    <row r="23" spans="1:6">
      <c r="A23" s="1205" t="s">
        <v>13</v>
      </c>
      <c r="B23" s="335">
        <v>0</v>
      </c>
    </row>
    <row r="24" spans="1:6">
      <c r="A24" s="1205" t="s">
        <v>14</v>
      </c>
      <c r="B24" s="335">
        <v>0</v>
      </c>
    </row>
    <row r="25" spans="1:6">
      <c r="A25" s="1205" t="s">
        <v>15</v>
      </c>
      <c r="B25" s="335">
        <v>2</v>
      </c>
    </row>
    <row r="26" spans="1:6">
      <c r="A26" s="1205" t="s">
        <v>16</v>
      </c>
      <c r="B26" s="335">
        <v>418</v>
      </c>
    </row>
    <row r="27" spans="1:6">
      <c r="A27" s="1205" t="s">
        <v>17</v>
      </c>
      <c r="B27" s="335">
        <v>15</v>
      </c>
    </row>
    <row r="28" spans="1:6" s="341" customFormat="1">
      <c r="A28" s="1206" t="s">
        <v>18</v>
      </c>
      <c r="B28" s="1206">
        <v>16464</v>
      </c>
    </row>
    <row r="29" spans="1:6">
      <c r="A29" s="1206" t="s">
        <v>873</v>
      </c>
      <c r="B29" s="1206">
        <v>165</v>
      </c>
      <c r="C29" s="341"/>
      <c r="D29" s="341"/>
      <c r="E29" s="341"/>
      <c r="F29" s="341"/>
    </row>
    <row r="30" spans="1:6">
      <c r="A30" s="1201" t="s">
        <v>874</v>
      </c>
      <c r="B30" s="1201">
        <v>21</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15740.743824371701</v>
      </c>
      <c r="E38" s="335">
        <v>1</v>
      </c>
      <c r="F38" s="335">
        <v>1170.7266925009001</v>
      </c>
    </row>
    <row r="39" spans="1:6">
      <c r="A39" s="1205" t="s">
        <v>30</v>
      </c>
      <c r="B39" s="1205" t="s">
        <v>31</v>
      </c>
      <c r="C39" s="335">
        <v>1266</v>
      </c>
      <c r="D39" s="335">
        <v>26213717.730855402</v>
      </c>
      <c r="E39" s="335">
        <v>3382</v>
      </c>
      <c r="F39" s="335">
        <v>17612598.423190601</v>
      </c>
    </row>
    <row r="40" spans="1:6">
      <c r="A40" s="1205" t="s">
        <v>30</v>
      </c>
      <c r="B40" s="1205" t="s">
        <v>29</v>
      </c>
      <c r="C40" s="335">
        <v>0</v>
      </c>
      <c r="D40" s="335">
        <v>0</v>
      </c>
      <c r="E40" s="335">
        <v>0</v>
      </c>
      <c r="F40" s="335">
        <v>0</v>
      </c>
    </row>
    <row r="41" spans="1:6">
      <c r="A41" s="1205" t="s">
        <v>32</v>
      </c>
      <c r="B41" s="1205" t="s">
        <v>33</v>
      </c>
      <c r="C41" s="335">
        <v>23</v>
      </c>
      <c r="D41" s="335">
        <v>727794.69327060296</v>
      </c>
      <c r="E41" s="335">
        <v>88</v>
      </c>
      <c r="F41" s="335">
        <v>1165141.94610768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5</v>
      </c>
      <c r="D48" s="335">
        <v>186352.25637510099</v>
      </c>
      <c r="E48" s="335">
        <v>27</v>
      </c>
      <c r="F48" s="335">
        <v>1465006.16502781</v>
      </c>
    </row>
    <row r="49" spans="1:6">
      <c r="A49" s="1205" t="s">
        <v>32</v>
      </c>
      <c r="B49" s="1205" t="s">
        <v>40</v>
      </c>
      <c r="C49" s="335">
        <v>0</v>
      </c>
      <c r="D49" s="335">
        <v>0</v>
      </c>
      <c r="E49" s="335">
        <v>0</v>
      </c>
      <c r="F49" s="335">
        <v>0</v>
      </c>
    </row>
    <row r="50" spans="1:6">
      <c r="A50" s="1205" t="s">
        <v>32</v>
      </c>
      <c r="B50" s="1205" t="s">
        <v>41</v>
      </c>
      <c r="C50" s="335">
        <v>0</v>
      </c>
      <c r="D50" s="335">
        <v>0</v>
      </c>
      <c r="E50" s="335">
        <v>3</v>
      </c>
      <c r="F50" s="335">
        <v>86225.613713848201</v>
      </c>
    </row>
    <row r="51" spans="1:6">
      <c r="A51" s="1205" t="s">
        <v>42</v>
      </c>
      <c r="B51" s="1205" t="s">
        <v>43</v>
      </c>
      <c r="C51" s="335">
        <v>0</v>
      </c>
      <c r="D51" s="335">
        <v>0</v>
      </c>
      <c r="E51" s="335">
        <v>61</v>
      </c>
      <c r="F51" s="335">
        <v>794805.43684006098</v>
      </c>
    </row>
    <row r="52" spans="1:6">
      <c r="A52" s="1205" t="s">
        <v>42</v>
      </c>
      <c r="B52" s="1205" t="s">
        <v>29</v>
      </c>
      <c r="C52" s="335">
        <v>5</v>
      </c>
      <c r="D52" s="335">
        <v>4043430.8933601198</v>
      </c>
      <c r="E52" s="335">
        <v>5</v>
      </c>
      <c r="F52" s="335">
        <v>78766.809066674701</v>
      </c>
    </row>
    <row r="53" spans="1:6">
      <c r="A53" s="1205" t="s">
        <v>44</v>
      </c>
      <c r="B53" s="1205" t="s">
        <v>45</v>
      </c>
      <c r="C53" s="335">
        <v>45</v>
      </c>
      <c r="D53" s="335">
        <v>1627134.63088789</v>
      </c>
      <c r="E53" s="335">
        <v>97</v>
      </c>
      <c r="F53" s="335">
        <v>695686.23158543697</v>
      </c>
    </row>
    <row r="54" spans="1:6">
      <c r="A54" s="1205" t="s">
        <v>46</v>
      </c>
      <c r="B54" s="1205" t="s">
        <v>47</v>
      </c>
      <c r="C54" s="335">
        <v>0</v>
      </c>
      <c r="D54" s="335">
        <v>0</v>
      </c>
      <c r="E54" s="335">
        <v>1</v>
      </c>
      <c r="F54" s="335">
        <v>586402</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14</v>
      </c>
      <c r="D57" s="335">
        <v>358392.99088222801</v>
      </c>
      <c r="E57" s="335">
        <v>32</v>
      </c>
      <c r="F57" s="335">
        <v>385931.20461177698</v>
      </c>
    </row>
    <row r="58" spans="1:6">
      <c r="A58" s="1205" t="s">
        <v>49</v>
      </c>
      <c r="B58" s="1205" t="s">
        <v>51</v>
      </c>
      <c r="C58" s="335">
        <v>14</v>
      </c>
      <c r="D58" s="335">
        <v>545314.73966847104</v>
      </c>
      <c r="E58" s="335">
        <v>27</v>
      </c>
      <c r="F58" s="335">
        <v>791509.34116381605</v>
      </c>
    </row>
    <row r="59" spans="1:6">
      <c r="A59" s="1205" t="s">
        <v>49</v>
      </c>
      <c r="B59" s="1205" t="s">
        <v>52</v>
      </c>
      <c r="C59" s="335">
        <v>18</v>
      </c>
      <c r="D59" s="335">
        <v>954143.91932883696</v>
      </c>
      <c r="E59" s="335">
        <v>85</v>
      </c>
      <c r="F59" s="335">
        <v>2077598.51581498</v>
      </c>
    </row>
    <row r="60" spans="1:6">
      <c r="A60" s="1205" t="s">
        <v>49</v>
      </c>
      <c r="B60" s="1205" t="s">
        <v>53</v>
      </c>
      <c r="C60" s="335">
        <v>15</v>
      </c>
      <c r="D60" s="335">
        <v>693119.84087314096</v>
      </c>
      <c r="E60" s="335">
        <v>40</v>
      </c>
      <c r="F60" s="335">
        <v>859327.26327701495</v>
      </c>
    </row>
    <row r="61" spans="1:6">
      <c r="A61" s="1205" t="s">
        <v>49</v>
      </c>
      <c r="B61" s="1205" t="s">
        <v>54</v>
      </c>
      <c r="C61" s="335">
        <v>48</v>
      </c>
      <c r="D61" s="335">
        <v>2780466.1938168402</v>
      </c>
      <c r="E61" s="335">
        <v>133</v>
      </c>
      <c r="F61" s="335">
        <v>1889324.8476038999</v>
      </c>
    </row>
    <row r="62" spans="1:6">
      <c r="A62" s="1205" t="s">
        <v>49</v>
      </c>
      <c r="B62" s="1205" t="s">
        <v>55</v>
      </c>
      <c r="C62" s="335">
        <v>0</v>
      </c>
      <c r="D62" s="335">
        <v>0</v>
      </c>
      <c r="E62" s="335">
        <v>5</v>
      </c>
      <c r="F62" s="335">
        <v>256891.83265955001</v>
      </c>
    </row>
    <row r="63" spans="1:6">
      <c r="A63" s="1205" t="s">
        <v>49</v>
      </c>
      <c r="B63" s="1205" t="s">
        <v>29</v>
      </c>
      <c r="C63" s="335">
        <v>64</v>
      </c>
      <c r="D63" s="335">
        <v>3072091.6151198</v>
      </c>
      <c r="E63" s="335">
        <v>95</v>
      </c>
      <c r="F63" s="335">
        <v>1779668.2135005901</v>
      </c>
    </row>
    <row r="64" spans="1:6">
      <c r="A64" s="1205" t="s">
        <v>56</v>
      </c>
      <c r="B64" s="1205" t="s">
        <v>57</v>
      </c>
      <c r="C64" s="335">
        <v>0</v>
      </c>
      <c r="D64" s="335">
        <v>0</v>
      </c>
      <c r="E64" s="335">
        <v>0</v>
      </c>
      <c r="F64" s="335">
        <v>0</v>
      </c>
    </row>
    <row r="65" spans="1:6">
      <c r="A65" s="1205" t="s">
        <v>56</v>
      </c>
      <c r="B65" s="1205" t="s">
        <v>29</v>
      </c>
      <c r="C65" s="335">
        <v>2</v>
      </c>
      <c r="D65" s="335">
        <v>19312.1570783844</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8</v>
      </c>
      <c r="F68" s="335">
        <v>65565.824608480805</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53592055</v>
      </c>
      <c r="E73" s="335">
        <v>55606367.27287972</v>
      </c>
    </row>
    <row r="74" spans="1:6">
      <c r="A74" s="1205" t="s">
        <v>64</v>
      </c>
      <c r="B74" s="1205" t="s">
        <v>772</v>
      </c>
      <c r="C74" s="1216" t="s">
        <v>766</v>
      </c>
      <c r="D74" s="335">
        <v>2925640.4720134269</v>
      </c>
      <c r="E74" s="335">
        <v>3129830.9246512433</v>
      </c>
    </row>
    <row r="75" spans="1:6">
      <c r="A75" s="1205" t="s">
        <v>65</v>
      </c>
      <c r="B75" s="1205" t="s">
        <v>771</v>
      </c>
      <c r="C75" s="1216" t="s">
        <v>767</v>
      </c>
      <c r="D75" s="335">
        <v>50347223</v>
      </c>
      <c r="E75" s="335">
        <v>51956984.219130687</v>
      </c>
    </row>
    <row r="76" spans="1:6">
      <c r="A76" s="1205" t="s">
        <v>65</v>
      </c>
      <c r="B76" s="1205" t="s">
        <v>772</v>
      </c>
      <c r="C76" s="1216" t="s">
        <v>768</v>
      </c>
      <c r="D76" s="335">
        <v>1498647.4720134267</v>
      </c>
      <c r="E76" s="335">
        <v>1606501.9947533573</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522633.0559731464</v>
      </c>
      <c r="C83" s="335">
        <v>506554.86272789922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1219.4064561047244</v>
      </c>
    </row>
    <row r="92" spans="1:6">
      <c r="A92" s="1201" t="s">
        <v>69</v>
      </c>
      <c r="B92" s="338">
        <v>85.987136663524325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622</v>
      </c>
    </row>
    <row r="98" spans="1:6">
      <c r="A98" s="1205" t="s">
        <v>72</v>
      </c>
      <c r="B98" s="335">
        <v>2</v>
      </c>
    </row>
    <row r="99" spans="1:6">
      <c r="A99" s="1205" t="s">
        <v>73</v>
      </c>
      <c r="B99" s="335">
        <v>79</v>
      </c>
    </row>
    <row r="100" spans="1:6">
      <c r="A100" s="1205" t="s">
        <v>74</v>
      </c>
      <c r="B100" s="335">
        <v>385</v>
      </c>
    </row>
    <row r="101" spans="1:6">
      <c r="A101" s="1205" t="s">
        <v>75</v>
      </c>
      <c r="B101" s="335">
        <v>43</v>
      </c>
    </row>
    <row r="102" spans="1:6">
      <c r="A102" s="1205" t="s">
        <v>76</v>
      </c>
      <c r="B102" s="335">
        <v>42</v>
      </c>
    </row>
    <row r="103" spans="1:6">
      <c r="A103" s="1205" t="s">
        <v>77</v>
      </c>
      <c r="B103" s="335">
        <v>96</v>
      </c>
    </row>
    <row r="104" spans="1:6">
      <c r="A104" s="1205" t="s">
        <v>78</v>
      </c>
      <c r="B104" s="335">
        <v>2009</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4</v>
      </c>
      <c r="C123" s="335">
        <v>15</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20</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31050.790954071901</v>
      </c>
      <c r="C3" s="44" t="s">
        <v>170</v>
      </c>
      <c r="D3" s="44"/>
      <c r="E3" s="157"/>
      <c r="F3" s="44"/>
      <c r="G3" s="44"/>
      <c r="H3" s="44"/>
      <c r="I3" s="44"/>
      <c r="J3" s="44"/>
      <c r="K3" s="97"/>
    </row>
    <row r="4" spans="1:11">
      <c r="A4" s="365" t="s">
        <v>171</v>
      </c>
      <c r="B4" s="50">
        <f>IF(ISERROR('SEAP template'!B69),0,'SEAP template'!B69)</f>
        <v>1310.2435927682486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1.1525882352941177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0.21171162965886808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1.6465546218487395</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6.9285714285714279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586.40200000000004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586.40200000000004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0.21171162965886808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124.14812305521957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17612.5984231906</v>
      </c>
      <c r="C5" s="18">
        <f>IF(ISERROR('Eigen informatie GS &amp; warmtenet'!B57),0,'Eigen informatie GS &amp; warmtenet'!B57)</f>
        <v>0</v>
      </c>
      <c r="D5" s="31">
        <f>(SUM(HH_hh_gas_kWh,HH_rest_gas_kWh)/1000)*0.902</f>
        <v>23644.773393231571</v>
      </c>
      <c r="E5" s="18">
        <f>B46*B57</f>
        <v>2736.6464348549093</v>
      </c>
      <c r="F5" s="18">
        <f>B51*B62</f>
        <v>28216.190603607247</v>
      </c>
      <c r="G5" s="19"/>
      <c r="H5" s="18"/>
      <c r="I5" s="18"/>
      <c r="J5" s="18">
        <f>B50*B61+C50*C61</f>
        <v>997.2017947597185</v>
      </c>
      <c r="K5" s="18"/>
      <c r="L5" s="18"/>
      <c r="M5" s="18"/>
      <c r="N5" s="18">
        <f>B48*B59+C48*C59</f>
        <v>4837.4321929882726</v>
      </c>
      <c r="O5" s="18">
        <f>B69*B70*B71</f>
        <v>54.716666666666669</v>
      </c>
      <c r="P5" s="18">
        <f>B77*B78*B79/1000-B77*B78*B79/1000/B80</f>
        <v>171.6</v>
      </c>
    </row>
    <row r="6" spans="1:16">
      <c r="A6" s="17" t="s">
        <v>639</v>
      </c>
      <c r="B6" s="831">
        <f>kWh_PV_kleiner_dan_10kW</f>
        <v>1219.4064561047244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18832.004879295324</v>
      </c>
      <c r="C8" s="22">
        <f>C5</f>
        <v>0</v>
      </c>
      <c r="D8" s="22">
        <f>D5</f>
        <v>23644.773393231571</v>
      </c>
      <c r="E8" s="22">
        <f>E5</f>
        <v>2736.6464348549093</v>
      </c>
      <c r="F8" s="22">
        <f>F5</f>
        <v>28216.190603607247</v>
      </c>
      <c r="G8" s="22"/>
      <c r="H8" s="22"/>
      <c r="I8" s="22"/>
      <c r="J8" s="22">
        <f>J5</f>
        <v>997.2017947597185</v>
      </c>
      <c r="K8" s="22"/>
      <c r="L8" s="22">
        <f>L5</f>
        <v>0</v>
      </c>
      <c r="M8" s="22">
        <f>M5</f>
        <v>0</v>
      </c>
      <c r="N8" s="22">
        <f>N5</f>
        <v>4837.4321929882726</v>
      </c>
      <c r="O8" s="22">
        <f>O5</f>
        <v>54.716666666666669</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0.21171162965886808</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3986.9544427393685</v>
      </c>
      <c r="C12" s="24">
        <f ca="1">C10*C8</f>
        <v>0</v>
      </c>
      <c r="D12" s="24">
        <f>D8*D10</f>
        <v>4776.244225432778</v>
      </c>
      <c r="E12" s="24">
        <f>E10*E8</f>
        <v>621.21874071206446</v>
      </c>
      <c r="F12" s="24">
        <f>F10*F8</f>
        <v>7533.7228911631355</v>
      </c>
      <c r="G12" s="24"/>
      <c r="H12" s="24"/>
      <c r="I12" s="24"/>
      <c r="J12" s="24">
        <f>J10*J8</f>
        <v>353.00943534494036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622</v>
      </c>
      <c r="C18" s="169" t="s">
        <v>111</v>
      </c>
      <c r="D18" s="231"/>
      <c r="E18" s="16"/>
    </row>
    <row r="19" spans="1:7">
      <c r="A19" s="174" t="s">
        <v>72</v>
      </c>
      <c r="B19" s="38">
        <f>aantalw2001_ander</f>
        <v>2</v>
      </c>
      <c r="C19" s="169" t="s">
        <v>111</v>
      </c>
      <c r="D19" s="232"/>
      <c r="E19" s="16"/>
    </row>
    <row r="20" spans="1:7">
      <c r="A20" s="174" t="s">
        <v>73</v>
      </c>
      <c r="B20" s="38">
        <f>aantalw2001_propaan</f>
        <v>79</v>
      </c>
      <c r="C20" s="170">
        <f>IF(ISERROR(B20/SUM($B$20,$B$21,$B$22)*100),0,B20/SUM($B$20,$B$21,$B$22)*100)</f>
        <v>15.581854043392504</v>
      </c>
      <c r="D20" s="232"/>
      <c r="E20" s="16"/>
    </row>
    <row r="21" spans="1:7">
      <c r="A21" s="174" t="s">
        <v>74</v>
      </c>
      <c r="B21" s="38">
        <f>aantalw2001_elektriciteit</f>
        <v>385</v>
      </c>
      <c r="C21" s="170">
        <f>IF(ISERROR(B21/SUM($B$20,$B$21,$B$22)*100),0,B21/SUM($B$20,$B$21,$B$22)*100)</f>
        <v>75.936883629191314</v>
      </c>
      <c r="D21" s="232"/>
      <c r="E21" s="16"/>
    </row>
    <row r="22" spans="1:7">
      <c r="A22" s="174" t="s">
        <v>75</v>
      </c>
      <c r="B22" s="38">
        <f>aantalw2001_hout</f>
        <v>43</v>
      </c>
      <c r="C22" s="170">
        <f>IF(ISERROR(B22/SUM($B$20,$B$21,$B$22)*100),0,B22/SUM($B$20,$B$21,$B$22)*100)</f>
        <v>8.4812623274161734</v>
      </c>
      <c r="D22" s="232"/>
      <c r="E22" s="16"/>
    </row>
    <row r="23" spans="1:7">
      <c r="A23" s="174" t="s">
        <v>76</v>
      </c>
      <c r="B23" s="38">
        <f>aantalw2001_niet_gespec</f>
        <v>42</v>
      </c>
      <c r="C23" s="169" t="s">
        <v>111</v>
      </c>
      <c r="D23" s="231"/>
      <c r="E23" s="16"/>
    </row>
    <row r="24" spans="1:7">
      <c r="A24" s="174" t="s">
        <v>77</v>
      </c>
      <c r="B24" s="38">
        <f>aantalw2001_steenkool</f>
        <v>96</v>
      </c>
      <c r="C24" s="169" t="s">
        <v>111</v>
      </c>
      <c r="D24" s="232"/>
      <c r="E24" s="16"/>
    </row>
    <row r="25" spans="1:7">
      <c r="A25" s="174" t="s">
        <v>78</v>
      </c>
      <c r="B25" s="38">
        <f>aantalw2001_stookolie</f>
        <v>2009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3533</v>
      </c>
      <c r="C28" s="37"/>
      <c r="D28" s="231"/>
    </row>
    <row r="29" spans="1:7" s="16" customFormat="1">
      <c r="A29" s="233" t="s">
        <v>666</v>
      </c>
      <c r="B29" s="38">
        <f>SUM(HH_hh_gas_aantal,HH_rest_gas_aantal)</f>
        <v>1266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1266</v>
      </c>
      <c r="C32" s="170">
        <f>IF(ISERROR(B32/SUM($B$32,$B$34,$B$35,$B$36,$B$38,$B$39)*100),0,B32/SUM($B$32,$B$34,$B$35,$B$36,$B$38,$B$39)*100)</f>
        <v>35.925085130533482</v>
      </c>
      <c r="D32" s="236"/>
      <c r="G32" s="16"/>
    </row>
    <row r="33" spans="1:7">
      <c r="A33" s="174" t="s">
        <v>72</v>
      </c>
      <c r="B33" s="35" t="s">
        <v>111</v>
      </c>
      <c r="C33" s="170"/>
      <c r="D33" s="236"/>
      <c r="G33" s="16"/>
    </row>
    <row r="34" spans="1:7">
      <c r="A34" s="174" t="s">
        <v>73</v>
      </c>
      <c r="B34" s="34">
        <f>IF((($B$28-$B$32-$B$39-$B$77-$B$38)*C20/100)&lt;0,0,($B$28-$B$32-$B$39-$B$77-$B$38)*C20/100)</f>
        <v>124.18737672583823</v>
      </c>
      <c r="C34" s="170">
        <f>IF(ISERROR(B34/SUM($B$32,$B$34,$B$35,$B$36,$B$38,$B$39)*100),0,B34/SUM($B$32,$B$34,$B$35,$B$36,$B$38,$B$39)*100)</f>
        <v>3.5240458775777022</v>
      </c>
      <c r="D34" s="236"/>
      <c r="G34" s="16"/>
    </row>
    <row r="35" spans="1:7">
      <c r="A35" s="174" t="s">
        <v>74</v>
      </c>
      <c r="B35" s="34">
        <f>IF((($B$28-$B$32-$B$39-$B$77-$B$38)*C21/100)&lt;0,0,($B$28-$B$32-$B$39-$B$77-$B$38)*C21/100)</f>
        <v>605.21696252465472</v>
      </c>
      <c r="C35" s="170">
        <f>IF(ISERROR(B35/SUM($B$32,$B$34,$B$35,$B$36,$B$38,$B$39)*100),0,B35/SUM($B$32,$B$34,$B$35,$B$36,$B$38,$B$39)*100)</f>
        <v>17.174147631233108</v>
      </c>
      <c r="D35" s="236"/>
      <c r="G35" s="16"/>
    </row>
    <row r="36" spans="1:7">
      <c r="A36" s="174" t="s">
        <v>75</v>
      </c>
      <c r="B36" s="34">
        <f>IF((($B$28-$B$32-$B$39-$B$77-$B$38)*C22/100)&lt;0,0,($B$28-$B$32-$B$39-$B$77-$B$38)*C22/100)</f>
        <v>67.595660749506891</v>
      </c>
      <c r="C36" s="170">
        <f>IF(ISERROR(B36/SUM($B$32,$B$34,$B$35,$B$36,$B$38,$B$39)*100),0,B36/SUM($B$32,$B$34,$B$35,$B$36,$B$38,$B$39)*100)</f>
        <v>1.9181515536182432</v>
      </c>
      <c r="D36" s="236"/>
      <c r="G36" s="16"/>
    </row>
    <row r="37" spans="1:7">
      <c r="A37" s="174" t="s">
        <v>76</v>
      </c>
      <c r="B37" s="35" t="s">
        <v>111</v>
      </c>
      <c r="C37" s="170"/>
      <c r="D37" s="176"/>
      <c r="G37" s="16"/>
    </row>
    <row r="38" spans="1:7">
      <c r="A38" s="174" t="s">
        <v>77</v>
      </c>
      <c r="B38" s="34">
        <f>IF((B24-(B29-B18)*0.1)&lt;0,0,B24-(B29-B18)*0.1)</f>
        <v>31.599999999999994</v>
      </c>
      <c r="C38" s="170">
        <f>IF(ISERROR(B38/SUM($B$32,$B$34,$B$35,$B$36,$B$38,$B$39)*100),0,B38/SUM($B$32,$B$34,$B$35,$B$36,$B$38,$B$39)*100)</f>
        <v>0.89670828603859232</v>
      </c>
      <c r="D38" s="237"/>
      <c r="G38" s="16"/>
    </row>
    <row r="39" spans="1:7">
      <c r="A39" s="174" t="s">
        <v>78</v>
      </c>
      <c r="B39" s="34">
        <f>IF((B25-(B29-B18))&lt;0,0,B25-(B29-B18)*0.9)</f>
        <v>1429.4</v>
      </c>
      <c r="C39" s="170">
        <f>IF(ISERROR(B39/SUM($B$32,$B$34,$B$35,$B$36,$B$38,$B$39)*100),0,B39/SUM($B$32,$B$34,$B$35,$B$36,$B$38,$B$39)*100)</f>
        <v>40.561861520998868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1266</v>
      </c>
      <c r="C44" s="35" t="s">
        <v>111</v>
      </c>
      <c r="D44" s="177"/>
    </row>
    <row r="45" spans="1:7">
      <c r="A45" s="174" t="s">
        <v>72</v>
      </c>
      <c r="B45" s="34" t="str">
        <f t="shared" si="0"/>
        <v>-</v>
      </c>
      <c r="C45" s="35" t="s">
        <v>111</v>
      </c>
      <c r="D45" s="177"/>
    </row>
    <row r="46" spans="1:7">
      <c r="A46" s="174" t="s">
        <v>73</v>
      </c>
      <c r="B46" s="34">
        <f t="shared" si="0"/>
        <v>124.18737672583823</v>
      </c>
      <c r="C46" s="35" t="s">
        <v>111</v>
      </c>
      <c r="D46" s="177"/>
    </row>
    <row r="47" spans="1:7">
      <c r="A47" s="174" t="s">
        <v>74</v>
      </c>
      <c r="B47" s="34">
        <f t="shared" si="0"/>
        <v>605.21696252465472</v>
      </c>
      <c r="C47" s="35" t="s">
        <v>111</v>
      </c>
      <c r="D47" s="177"/>
    </row>
    <row r="48" spans="1:7">
      <c r="A48" s="174" t="s">
        <v>75</v>
      </c>
      <c r="B48" s="34">
        <f t="shared" si="0"/>
        <v>67.595660749506891</v>
      </c>
      <c r="C48" s="34">
        <f>B48*10</f>
        <v>675.95660749506897</v>
      </c>
      <c r="D48" s="237"/>
    </row>
    <row r="49" spans="1:6">
      <c r="A49" s="174" t="s">
        <v>76</v>
      </c>
      <c r="B49" s="34" t="str">
        <f t="shared" si="0"/>
        <v>-</v>
      </c>
      <c r="C49" s="35" t="s">
        <v>111</v>
      </c>
      <c r="D49" s="237"/>
    </row>
    <row r="50" spans="1:6">
      <c r="A50" s="174" t="s">
        <v>77</v>
      </c>
      <c r="B50" s="34">
        <f t="shared" si="0"/>
        <v>31.599999999999994</v>
      </c>
      <c r="C50" s="34">
        <f>B50*2</f>
        <v>63.199999999999989</v>
      </c>
      <c r="D50" s="237"/>
    </row>
    <row r="51" spans="1:6">
      <c r="A51" s="174" t="s">
        <v>78</v>
      </c>
      <c r="B51" s="34">
        <f t="shared" si="0"/>
        <v>1429.4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8040.2512186316289</v>
      </c>
      <c r="C5" s="18">
        <f>IF(ISERROR('Eigen informatie GS &amp; warmtenet'!B58),0,'Eigen informatie GS &amp; warmtenet'!B58)</f>
        <v>0</v>
      </c>
      <c r="D5" s="31">
        <f>SUM(D6:D12)</f>
        <v>7579.9834283197633</v>
      </c>
      <c r="E5" s="18">
        <f>SUM(E6:E12)</f>
        <v>78.358729736662255</v>
      </c>
      <c r="F5" s="18">
        <f>SUM(F6:F12)</f>
        <v>1683.7575943457393</v>
      </c>
      <c r="G5" s="19"/>
      <c r="H5" s="18"/>
      <c r="I5" s="18"/>
      <c r="J5" s="18">
        <f>SUM(J6:J12)</f>
        <v>0</v>
      </c>
      <c r="K5" s="18"/>
      <c r="L5" s="18"/>
      <c r="M5" s="18"/>
      <c r="N5" s="18">
        <f>SUM(N6:N12)</f>
        <v>358.14485417856963</v>
      </c>
      <c r="O5" s="18">
        <f>B38*B39*B40</f>
        <v>0</v>
      </c>
      <c r="P5" s="18">
        <f>B46*B47*B48/1000-B46*B47*B48/1000/B49</f>
        <v>0</v>
      </c>
      <c r="R5" s="33"/>
    </row>
    <row r="6" spans="1:18">
      <c r="A6" s="33" t="s">
        <v>54</v>
      </c>
      <c r="B6" s="38">
        <f>B26</f>
        <v>1889.3248476038998</v>
      </c>
      <c r="C6" s="34"/>
      <c r="D6" s="38">
        <f>IF(ISERROR(TER_kantoor_gas_kWh/1000),0,TER_kantoor_gas_kWh/1000)*0.902</f>
        <v>2507.9805068227897</v>
      </c>
      <c r="E6" s="34">
        <f>$C$26*'E Balans VL '!I12/100/3.6*1000000</f>
        <v>3.1007649954354854</v>
      </c>
      <c r="F6" s="34">
        <f>$C$26*('E Balans VL '!L12+'E Balans VL '!N12)/100/3.6*1000000</f>
        <v>222.70694613285727</v>
      </c>
      <c r="G6" s="35"/>
      <c r="H6" s="34"/>
      <c r="I6" s="34"/>
      <c r="J6" s="34">
        <f>$C$26*('E Balans VL '!D12+'E Balans VL '!E12)/100/3.6*1000000</f>
        <v>0</v>
      </c>
      <c r="K6" s="34"/>
      <c r="L6" s="34"/>
      <c r="M6" s="34"/>
      <c r="N6" s="34">
        <f>$C$26*'E Balans VL '!Y12/100/3.6*1000000</f>
        <v>0.3817291387727727</v>
      </c>
      <c r="O6" s="34"/>
      <c r="P6" s="34"/>
      <c r="R6" s="33"/>
    </row>
    <row r="7" spans="1:18">
      <c r="A7" s="33" t="s">
        <v>53</v>
      </c>
      <c r="B7" s="38">
        <f t="shared" ref="B7:B12" si="0">B27</f>
        <v>859.32726327701494</v>
      </c>
      <c r="C7" s="34"/>
      <c r="D7" s="38">
        <f>IF(ISERROR(TER_horeca_gas_kWh/1000),0,TER_horeca_gas_kWh/1000)*0.902</f>
        <v>625.1940964675731</v>
      </c>
      <c r="E7" s="34">
        <f>$C$27*'E Balans VL '!I9/100/3.6*1000000</f>
        <v>44.59286673893493</v>
      </c>
      <c r="F7" s="34">
        <f>$C$27*('E Balans VL '!L9+'E Balans VL '!N9)/100/3.6*1000000</f>
        <v>196.09910501076737</v>
      </c>
      <c r="G7" s="35"/>
      <c r="H7" s="34"/>
      <c r="I7" s="34"/>
      <c r="J7" s="34">
        <f>$C$27*('E Balans VL '!D9+'E Balans VL '!E9)/100/3.6*1000000</f>
        <v>0</v>
      </c>
      <c r="K7" s="34"/>
      <c r="L7" s="34"/>
      <c r="M7" s="34"/>
      <c r="N7" s="34">
        <f>$C$27*'E Balans VL '!Y9/100/3.6*1000000</f>
        <v>9.0744565198153757E-2</v>
      </c>
      <c r="O7" s="34"/>
      <c r="P7" s="34"/>
      <c r="R7" s="33"/>
    </row>
    <row r="8" spans="1:18">
      <c r="A8" s="6" t="s">
        <v>52</v>
      </c>
      <c r="B8" s="38">
        <f t="shared" si="0"/>
        <v>2077.5985158149801</v>
      </c>
      <c r="C8" s="34"/>
      <c r="D8" s="38">
        <f>IF(ISERROR(TER_handel_gas_kWh/1000),0,TER_handel_gas_kWh/1000)*0.902</f>
        <v>860.63781523461103</v>
      </c>
      <c r="E8" s="34">
        <f>$C$28*'E Balans VL '!I13/100/3.6*1000000</f>
        <v>11.188123310588763</v>
      </c>
      <c r="F8" s="34">
        <f>$C$28*('E Balans VL '!L13+'E Balans VL '!N13)/100/3.6*1000000</f>
        <v>423.68407804178241</v>
      </c>
      <c r="G8" s="35"/>
      <c r="H8" s="34"/>
      <c r="I8" s="34"/>
      <c r="J8" s="34">
        <f>$C$28*('E Balans VL '!D13+'E Balans VL '!E13)/100/3.6*1000000</f>
        <v>0</v>
      </c>
      <c r="K8" s="34"/>
      <c r="L8" s="34"/>
      <c r="M8" s="34"/>
      <c r="N8" s="34">
        <f>$C$28*'E Balans VL '!Y13/100/3.6*1000000</f>
        <v>10.330800270805634</v>
      </c>
      <c r="O8" s="34"/>
      <c r="P8" s="34"/>
      <c r="R8" s="33"/>
    </row>
    <row r="9" spans="1:18">
      <c r="A9" s="33" t="s">
        <v>51</v>
      </c>
      <c r="B9" s="38">
        <f t="shared" si="0"/>
        <v>791.50934116381609</v>
      </c>
      <c r="C9" s="34"/>
      <c r="D9" s="38">
        <f>IF(ISERROR(TER_gezond_gas_kWh/1000),0,TER_gezond_gas_kWh/1000)*0.902</f>
        <v>491.87389518096086</v>
      </c>
      <c r="E9" s="34">
        <f>$C$29*'E Balans VL '!I10/100/3.6*1000000</f>
        <v>0.78439475810031789</v>
      </c>
      <c r="F9" s="34">
        <f>$C$29*('E Balans VL '!L10+'E Balans VL '!N10)/100/3.6*1000000</f>
        <v>274.63092700234421</v>
      </c>
      <c r="G9" s="35"/>
      <c r="H9" s="34"/>
      <c r="I9" s="34"/>
      <c r="J9" s="34">
        <f>$C$29*('E Balans VL '!D10+'E Balans VL '!E10)/100/3.6*1000000</f>
        <v>0</v>
      </c>
      <c r="K9" s="34"/>
      <c r="L9" s="34"/>
      <c r="M9" s="34"/>
      <c r="N9" s="34">
        <f>$C$29*'E Balans VL '!Y10/100/3.6*1000000</f>
        <v>6.8203674246831154</v>
      </c>
      <c r="O9" s="34"/>
      <c r="P9" s="34"/>
      <c r="R9" s="33"/>
    </row>
    <row r="10" spans="1:18">
      <c r="A10" s="33" t="s">
        <v>50</v>
      </c>
      <c r="B10" s="38">
        <f t="shared" si="0"/>
        <v>385.93120461177699</v>
      </c>
      <c r="C10" s="34"/>
      <c r="D10" s="38">
        <f>IF(ISERROR(TER_ander_gas_kWh/1000),0,TER_ander_gas_kWh/1000)*0.902</f>
        <v>323.27047777576968</v>
      </c>
      <c r="E10" s="34">
        <f>$C$30*'E Balans VL '!I14/100/3.6*1000000</f>
        <v>3.1573029644938577</v>
      </c>
      <c r="F10" s="34">
        <f>$C$30*('E Balans VL '!L14+'E Balans VL '!N14)/100/3.6*1000000</f>
        <v>112.83057231841154</v>
      </c>
      <c r="G10" s="35"/>
      <c r="H10" s="34"/>
      <c r="I10" s="34"/>
      <c r="J10" s="34">
        <f>$C$30*('E Balans VL '!D14+'E Balans VL '!E14)/100/3.6*1000000</f>
        <v>0</v>
      </c>
      <c r="K10" s="34"/>
      <c r="L10" s="34"/>
      <c r="M10" s="34"/>
      <c r="N10" s="34">
        <f>$C$30*'E Balans VL '!Y14/100/3.6*1000000</f>
        <v>222.6316666082831</v>
      </c>
      <c r="O10" s="34"/>
      <c r="P10" s="34"/>
      <c r="R10" s="33"/>
    </row>
    <row r="11" spans="1:18">
      <c r="A11" s="33" t="s">
        <v>55</v>
      </c>
      <c r="B11" s="38">
        <f t="shared" si="0"/>
        <v>256.89183265955</v>
      </c>
      <c r="C11" s="34"/>
      <c r="D11" s="38">
        <f>IF(ISERROR(TER_onderwijs_gas_kWh/1000),0,TER_onderwijs_gas_kWh/1000)*0.902</f>
        <v>0</v>
      </c>
      <c r="E11" s="34">
        <f>$C$31*'E Balans VL '!I11/100/3.6*1000000</f>
        <v>0.15833728630877708</v>
      </c>
      <c r="F11" s="34">
        <f>$C$31*('E Balans VL '!L11+'E Balans VL '!N11)/100/3.6*1000000</f>
        <v>99.318542784461627</v>
      </c>
      <c r="G11" s="35"/>
      <c r="H11" s="34"/>
      <c r="I11" s="34"/>
      <c r="J11" s="34">
        <f>$C$31*('E Balans VL '!D11+'E Balans VL '!E11)/100/3.6*1000000</f>
        <v>0</v>
      </c>
      <c r="K11" s="34"/>
      <c r="L11" s="34"/>
      <c r="M11" s="34"/>
      <c r="N11" s="34">
        <f>$C$31*'E Balans VL '!Y11/100/3.6*1000000</f>
        <v>0.83561408089719003</v>
      </c>
      <c r="O11" s="34"/>
      <c r="P11" s="34"/>
      <c r="R11" s="33"/>
    </row>
    <row r="12" spans="1:18">
      <c r="A12" s="33" t="s">
        <v>260</v>
      </c>
      <c r="B12" s="38">
        <f t="shared" si="0"/>
        <v>1779.6682135005901</v>
      </c>
      <c r="C12" s="34"/>
      <c r="D12" s="38">
        <f>IF(ISERROR(TER_rest_gas_kWh/1000),0,TER_rest_gas_kWh/1000)*0.902</f>
        <v>2771.0266368380594</v>
      </c>
      <c r="E12" s="34">
        <f>$C$32*'E Balans VL '!I8/100/3.6*1000000</f>
        <v>15.376939682800122</v>
      </c>
      <c r="F12" s="34">
        <f>$C$32*('E Balans VL '!L8+'E Balans VL '!N8)/100/3.6*1000000</f>
        <v>354.4874230551149</v>
      </c>
      <c r="G12" s="35"/>
      <c r="H12" s="34"/>
      <c r="I12" s="34"/>
      <c r="J12" s="34">
        <f>$C$32*('E Balans VL '!D8+'E Balans VL '!E8)/100/3.6*1000000</f>
        <v>0</v>
      </c>
      <c r="K12" s="34"/>
      <c r="L12" s="34"/>
      <c r="M12" s="34"/>
      <c r="N12" s="34">
        <f>$C$32*'E Balans VL '!Y8/100/3.6*1000000</f>
        <v>117.05393208992965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8040.2512186316289</v>
      </c>
      <c r="C16" s="22">
        <f t="shared" ca="1" si="1"/>
        <v>0</v>
      </c>
      <c r="D16" s="22">
        <f t="shared" ca="1" si="1"/>
        <v>7579.9834283197633</v>
      </c>
      <c r="E16" s="22">
        <f t="shared" si="1"/>
        <v>78.358729736662255</v>
      </c>
      <c r="F16" s="22">
        <f t="shared" ca="1" si="1"/>
        <v>1683.7575943457393</v>
      </c>
      <c r="G16" s="22">
        <f t="shared" si="1"/>
        <v>0</v>
      </c>
      <c r="H16" s="22">
        <f t="shared" si="1"/>
        <v>0</v>
      </c>
      <c r="I16" s="22">
        <f t="shared" si="1"/>
        <v>0</v>
      </c>
      <c r="J16" s="22">
        <f t="shared" si="1"/>
        <v>0</v>
      </c>
      <c r="K16" s="22">
        <f t="shared" si="1"/>
        <v>0</v>
      </c>
      <c r="L16" s="22">
        <f t="shared" ca="1" si="1"/>
        <v>0</v>
      </c>
      <c r="M16" s="22">
        <f t="shared" si="1"/>
        <v>0</v>
      </c>
      <c r="N16" s="22">
        <f t="shared" ca="1" si="1"/>
        <v>358.14485417856963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0.21171162965886808</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1702.2146883632022</v>
      </c>
      <c r="C20" s="24">
        <f t="shared" ref="C20:P20" ca="1" si="2">C16*C18</f>
        <v>0</v>
      </c>
      <c r="D20" s="24">
        <f t="shared" ca="1" si="2"/>
        <v>1531.1566525205924</v>
      </c>
      <c r="E20" s="24">
        <f t="shared" si="2"/>
        <v>17.787431650222331</v>
      </c>
      <c r="F20" s="24">
        <f t="shared" ca="1" si="2"/>
        <v>449.56327769031242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1889.3248476038998</v>
      </c>
      <c r="C26" s="40">
        <f>IF(ISERROR(B26*3.6/1000000/'E Balans VL '!Z12*100),0,B26*3.6/1000000/'E Balans VL '!Z12*100)</f>
        <v>4.014679811808302E-2</v>
      </c>
      <c r="D26" s="240" t="s">
        <v>707</v>
      </c>
      <c r="F26" s="6"/>
    </row>
    <row r="27" spans="1:18">
      <c r="A27" s="234" t="s">
        <v>53</v>
      </c>
      <c r="B27" s="34">
        <f>IF(ISERROR(TER_horeca_ele_kWh/1000),0,TER_horeca_ele_kWh/1000)</f>
        <v>859.32726327701494</v>
      </c>
      <c r="C27" s="40">
        <f>IF(ISERROR(B27*3.6/1000000/'E Balans VL '!Z9*100),0,B27*3.6/1000000/'E Balans VL '!Z9*100)</f>
        <v>6.7635700768810245E-2</v>
      </c>
      <c r="D27" s="240" t="s">
        <v>707</v>
      </c>
      <c r="F27" s="6"/>
    </row>
    <row r="28" spans="1:18">
      <c r="A28" s="174" t="s">
        <v>52</v>
      </c>
      <c r="B28" s="34">
        <f>IF(ISERROR(TER_handel_ele_kWh/1000),0,TER_handel_ele_kWh/1000)</f>
        <v>2077.5985158149801</v>
      </c>
      <c r="C28" s="40">
        <f>IF(ISERROR(B28*3.6/1000000/'E Balans VL '!Z13*100),0,B28*3.6/1000000/'E Balans VL '!Z13*100)</f>
        <v>5.8194646314806295E-2</v>
      </c>
      <c r="D28" s="240" t="s">
        <v>707</v>
      </c>
      <c r="F28" s="6"/>
    </row>
    <row r="29" spans="1:18">
      <c r="A29" s="234" t="s">
        <v>51</v>
      </c>
      <c r="B29" s="34">
        <f>IF(ISERROR(TER_gezond_ele_kWh/1000),0,TER_gezond_ele_kWh/1000)</f>
        <v>791.50934116381609</v>
      </c>
      <c r="C29" s="40">
        <f>IF(ISERROR(B29*3.6/1000000/'E Balans VL '!Z10*100),0,B29*3.6/1000000/'E Balans VL '!Z10*100)</f>
        <v>0.10125797901339038</v>
      </c>
      <c r="D29" s="240" t="s">
        <v>707</v>
      </c>
      <c r="F29" s="6"/>
    </row>
    <row r="30" spans="1:18">
      <c r="A30" s="234" t="s">
        <v>50</v>
      </c>
      <c r="B30" s="34">
        <f>IF(ISERROR(TER_ander_ele_kWh/1000),0,TER_ander_ele_kWh/1000)</f>
        <v>385.93120461177699</v>
      </c>
      <c r="C30" s="40">
        <f>IF(ISERROR(B30*3.6/1000000/'E Balans VL '!Z14*100),0,B30*3.6/1000000/'E Balans VL '!Z14*100)</f>
        <v>2.8864402191823513E-2</v>
      </c>
      <c r="D30" s="240" t="s">
        <v>707</v>
      </c>
      <c r="F30" s="6"/>
    </row>
    <row r="31" spans="1:18">
      <c r="A31" s="234" t="s">
        <v>55</v>
      </c>
      <c r="B31" s="34">
        <f>IF(ISERROR(TER_onderwijs_ele_kWh/1000),0,TER_onderwijs_ele_kWh/1000)</f>
        <v>256.89183265955</v>
      </c>
      <c r="C31" s="40">
        <f>IF(ISERROR(B31*3.6/1000000/'E Balans VL '!Z11*100),0,B31*3.6/1000000/'E Balans VL '!Z11*100)</f>
        <v>5.4243043226042842E-2</v>
      </c>
      <c r="D31" s="240" t="s">
        <v>707</v>
      </c>
    </row>
    <row r="32" spans="1:18">
      <c r="A32" s="234" t="s">
        <v>260</v>
      </c>
      <c r="B32" s="34">
        <f>IF(ISERROR(TER_rest_ele_kWh/1000),0,TER_rest_ele_kWh/1000)</f>
        <v>1779.6682135005901</v>
      </c>
      <c r="C32" s="40">
        <f>IF(ISERROR(B32*3.6/1000000/'E Balans VL '!Z8*100),0,B32*3.6/1000000/'E Balans VL '!Z8*100)</f>
        <v>1.4660785841840236E-2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2716.373724849338</v>
      </c>
      <c r="C5" s="18">
        <f>IF(ISERROR('Eigen informatie GS &amp; warmtenet'!B59),0,'Eigen informatie GS &amp; warmtenet'!B59)</f>
        <v>0</v>
      </c>
      <c r="D5" s="31">
        <f>SUM(D6:D15)</f>
        <v>824.56054858042489</v>
      </c>
      <c r="E5" s="18">
        <f>SUM(E6:E15)</f>
        <v>20.746610559198871</v>
      </c>
      <c r="F5" s="18">
        <f>SUM(F6:F15)</f>
        <v>1224.992665631318</v>
      </c>
      <c r="G5" s="19"/>
      <c r="H5" s="18"/>
      <c r="I5" s="18"/>
      <c r="J5" s="18">
        <f>SUM(J6:J15)</f>
        <v>7.4777289834198921</v>
      </c>
      <c r="K5" s="18"/>
      <c r="L5" s="18"/>
      <c r="M5" s="18"/>
      <c r="N5" s="18">
        <f>SUM(N6:N15)</f>
        <v>134.52576314744618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1165.14194610768</v>
      </c>
      <c r="C9" s="34"/>
      <c r="D9" s="38">
        <f>IF( ISERROR(IND_andere_gas_kWh/1000),0,IND_andere_gas_kWh/1000)*0.902</f>
        <v>656.47081333008384</v>
      </c>
      <c r="E9" s="34">
        <f>C31*'E Balans VL '!I19/100/3.6*1000000</f>
        <v>6.7346945645645766</v>
      </c>
      <c r="F9" s="34">
        <f>C31*'E Balans VL '!L19/100/3.6*1000000+C31*'E Balans VL '!N19/100/3.6*1000000</f>
        <v>926.92648254055564</v>
      </c>
      <c r="G9" s="35"/>
      <c r="H9" s="34"/>
      <c r="I9" s="34"/>
      <c r="J9" s="41">
        <f>C31*'E Balans VL '!D19/100/3.6*1000000+C31*'E Balans VL '!E19/100/3.6*1000000</f>
        <v>0.11020948607161658</v>
      </c>
      <c r="K9" s="34"/>
      <c r="L9" s="34"/>
      <c r="M9" s="34"/>
      <c r="N9" s="34">
        <f>C31*'E Balans VL '!Y19/100/3.6*1000000</f>
        <v>88.27713486871761</v>
      </c>
      <c r="O9" s="34"/>
      <c r="P9" s="34"/>
      <c r="R9" s="33"/>
    </row>
    <row r="10" spans="1:18">
      <c r="A10" s="6" t="s">
        <v>41</v>
      </c>
      <c r="B10" s="38">
        <f t="shared" si="0"/>
        <v>86.225613713848205</v>
      </c>
      <c r="C10" s="34"/>
      <c r="D10" s="38">
        <f>IF( ISERROR(IND_voed_gas_kWh/1000),0,IND_voed_gas_kWh/1000)*0.902</f>
        <v>0</v>
      </c>
      <c r="E10" s="34">
        <f>C32*'E Balans VL '!I20/100/3.6*1000000</f>
        <v>0.8478233620598068</v>
      </c>
      <c r="F10" s="34">
        <f>C32*'E Balans VL '!L20/100/3.6*1000000+C32*'E Balans VL '!N20/100/3.6*1000000</f>
        <v>9.5764798751960942</v>
      </c>
      <c r="G10" s="35"/>
      <c r="H10" s="34"/>
      <c r="I10" s="34"/>
      <c r="J10" s="41">
        <f>C32*'E Balans VL '!D20/100/3.6*1000000+C32*'E Balans VL '!E20/100/3.6*1000000</f>
        <v>3.3985428771951277E-4</v>
      </c>
      <c r="K10" s="34"/>
      <c r="L10" s="34"/>
      <c r="M10" s="34"/>
      <c r="N10" s="34">
        <f>C32*'E Balans VL '!Y20/100/3.6*1000000</f>
        <v>1.2767985150794177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1465.0061650278101</v>
      </c>
      <c r="C15" s="34"/>
      <c r="D15" s="38">
        <f>IF( ISERROR(IND_rest_gas_kWh/1000),0,IND_rest_gas_kWh/1000)*0.902</f>
        <v>168.08973525034108</v>
      </c>
      <c r="E15" s="34">
        <f>C37*'E Balans VL '!I15/100/3.6*1000000</f>
        <v>13.164092632574487</v>
      </c>
      <c r="F15" s="34">
        <f>C37*'E Balans VL '!L15/100/3.6*1000000+C37*'E Balans VL '!N15/100/3.6*1000000</f>
        <v>288.48970321556624</v>
      </c>
      <c r="G15" s="35"/>
      <c r="H15" s="34"/>
      <c r="I15" s="34"/>
      <c r="J15" s="41">
        <f>C37*'E Balans VL '!D15/100/3.6*1000000+C37*'E Balans VL '!E15/100/3.6*1000000</f>
        <v>7.3671796430605561</v>
      </c>
      <c r="K15" s="34"/>
      <c r="L15" s="34"/>
      <c r="M15" s="34"/>
      <c r="N15" s="34">
        <f>C37*'E Balans VL '!Y15/100/3.6*1000000</f>
        <v>44.971829763649147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2716.373724849338</v>
      </c>
      <c r="C18" s="22">
        <f>C5+C16</f>
        <v>0</v>
      </c>
      <c r="D18" s="22">
        <f>MAX((D5+D16),0)</f>
        <v>824.56054858042489</v>
      </c>
      <c r="E18" s="22">
        <f>MAX((E5+E16),0)</f>
        <v>20.746610559198871</v>
      </c>
      <c r="F18" s="22">
        <f>MAX((F5+F16),0)</f>
        <v>1224.992665631318</v>
      </c>
      <c r="G18" s="22"/>
      <c r="H18" s="22"/>
      <c r="I18" s="22"/>
      <c r="J18" s="22">
        <f>MAX((J5+J16),0)</f>
        <v>7.4777289834198921</v>
      </c>
      <c r="K18" s="22"/>
      <c r="L18" s="22">
        <f>MAX((L5+L16),0)</f>
        <v>0</v>
      </c>
      <c r="M18" s="22"/>
      <c r="N18" s="22">
        <f>MAX((N5+N16),0)</f>
        <v>134.52576314744618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0.21171162965886808</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575.08790805038313</v>
      </c>
      <c r="C22" s="24">
        <f ca="1">C18*C20</f>
        <v>0</v>
      </c>
      <c r="D22" s="24">
        <f>D18*D20</f>
        <v>166.56123081324583</v>
      </c>
      <c r="E22" s="24">
        <f>E18*E20</f>
        <v>4.7094805969381435</v>
      </c>
      <c r="F22" s="24">
        <f>F18*F20</f>
        <v>327.07304172356191</v>
      </c>
      <c r="G22" s="24"/>
      <c r="H22" s="24"/>
      <c r="I22" s="24"/>
      <c r="J22" s="24">
        <f>J18*J20</f>
        <v>2.6471160601306418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1165.14194610768</v>
      </c>
      <c r="C31" s="40">
        <f>IF(ISERROR(B31*3.6/1000000/'E Balans VL '!Z19*100),0,B31*3.6/1000000/'E Balans VL '!Z19*100)</f>
        <v>5.4164389059088019E-2</v>
      </c>
      <c r="D31" s="240" t="s">
        <v>707</v>
      </c>
    </row>
    <row r="32" spans="1:18">
      <c r="A32" s="174" t="s">
        <v>41</v>
      </c>
      <c r="B32" s="38">
        <f>IF( ISERROR(IND_voed_ele_kWh/1000),0,IND_voed_ele_kWh/1000)</f>
        <v>86.225613713848205</v>
      </c>
      <c r="C32" s="40">
        <f>IF(ISERROR(B32*3.6/1000000/'E Balans VL '!Z20*100),0,B32*3.6/1000000/'E Balans VL '!Z20*100)</f>
        <v>3.0479013047827333E-3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1465.0061650278101</v>
      </c>
      <c r="C37" s="40">
        <f>IF(ISERROR(B37*3.6/1000000/'E Balans VL '!Z15*100),0,B37*3.6/1000000/'E Balans VL '!Z15*100)</f>
        <v>1.1062960687316279E-2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873.5722459067357</v>
      </c>
      <c r="C5" s="18">
        <f>'Eigen informatie GS &amp; warmtenet'!B60</f>
        <v>0</v>
      </c>
      <c r="D5" s="31">
        <f>IF(ISERROR(SUM(LB_lb_gas_kWh,LB_rest_gas_kWh,onbekend_gas_kWh)/1000),0,SUM(LB_lb_gas_kWh,LB_rest_gas_kWh,onbekend_gas_kWh)/1000)*0.902</f>
        <v>5114.8501028717046</v>
      </c>
      <c r="E5" s="18">
        <f>B17*'E Balans VL '!I25/3.6*1000000/100</f>
        <v>8.2296358690462732</v>
      </c>
      <c r="F5" s="18">
        <f>B17*('E Balans VL '!L25/3.6*1000000+'E Balans VL '!N25/3.6*1000000)/100</f>
        <v>2850.7561515609746</v>
      </c>
      <c r="G5" s="19"/>
      <c r="H5" s="18"/>
      <c r="I5" s="18"/>
      <c r="J5" s="18">
        <f>('E Balans VL '!D25+'E Balans VL '!E25)/3.6*1000000*landbouw!B17/100</f>
        <v>108.06513587325108</v>
      </c>
      <c r="K5" s="18"/>
      <c r="L5" s="18">
        <f>L6*(-1)</f>
        <v>0</v>
      </c>
      <c r="M5" s="18"/>
      <c r="N5" s="18">
        <f>N6*(-1)</f>
        <v>0</v>
      </c>
      <c r="O5" s="18"/>
      <c r="P5" s="18"/>
      <c r="R5" s="33"/>
    </row>
    <row r="6" spans="1:18">
      <c r="A6" s="17" t="s">
        <v>502</v>
      </c>
      <c r="B6" s="18" t="s">
        <v>211</v>
      </c>
      <c r="C6" s="18">
        <f>'lokale energieproductie'!O91+'lokale energieproductie'!O60</f>
        <v>6.9285714285714279</v>
      </c>
      <c r="D6" s="312">
        <f>('lokale energieproductie'!P60+'lokale energieproductie'!P91)*(-1)</f>
        <v>-13.857142857142858</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873.5722459067357</v>
      </c>
      <c r="C8" s="22">
        <f>C5+C6</f>
        <v>6.9285714285714279</v>
      </c>
      <c r="D8" s="22">
        <f>MAX((D5+D6),0)</f>
        <v>5100.9929600145615</v>
      </c>
      <c r="E8" s="22">
        <f>MAX((E5+E6),0)</f>
        <v>8.2296358690462732</v>
      </c>
      <c r="F8" s="22">
        <f>MAX((F5+F6),0)</f>
        <v>2850.7561515609746</v>
      </c>
      <c r="G8" s="22"/>
      <c r="H8" s="22"/>
      <c r="I8" s="22"/>
      <c r="J8" s="22">
        <f>MAX((J5+J6),0)</f>
        <v>108.06513587325108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0.21171162965886808</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184.94540380567247</v>
      </c>
      <c r="C12" s="24">
        <f ca="1">C8*C10</f>
        <v>1.6465546218487395</v>
      </c>
      <c r="D12" s="24">
        <f>D8*D10</f>
        <v>1030.4005779229415</v>
      </c>
      <c r="E12" s="24">
        <f>E8*E10</f>
        <v>1.8681273422735041</v>
      </c>
      <c r="F12" s="24">
        <f>F8*F10</f>
        <v>761.15189246678028</v>
      </c>
      <c r="G12" s="24"/>
      <c r="H12" s="24"/>
      <c r="I12" s="24"/>
      <c r="J12" s="24">
        <f>J8*J10</f>
        <v>38.255058099130878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0.11826772285751695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211.98031937515557</v>
      </c>
      <c r="C26" s="250">
        <f>B26*'GWP N2O_CH4'!B5</f>
        <v>4451.5867068782673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29.529029203863239</v>
      </c>
      <c r="C27" s="250">
        <f>B27*'GWP N2O_CH4'!B5</f>
        <v>620.10961328112796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2.756794125852799</v>
      </c>
      <c r="C28" s="250">
        <f>B28*'GWP N2O_CH4'!B4</f>
        <v>854.60617901436774</v>
      </c>
      <c r="D28" s="51"/>
    </row>
    <row r="29" spans="1:4">
      <c r="A29" s="42" t="s">
        <v>277</v>
      </c>
      <c r="B29" s="250">
        <f>B34*'ha_N2O bodem landbouw'!B4</f>
        <v>10.060025493952212</v>
      </c>
      <c r="C29" s="250">
        <f>B29*'GWP N2O_CH4'!B4</f>
        <v>3118.6079031251857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2.7158901910801472E-3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7.8727873999424571E-6</v>
      </c>
      <c r="C5" s="447" t="s">
        <v>211</v>
      </c>
      <c r="D5" s="432">
        <f>SUM(D6:D11)</f>
        <v>2.6621300001598346E-5</v>
      </c>
      <c r="E5" s="432">
        <f>SUM(E6:E11)</f>
        <v>1.4961664766809427E-3</v>
      </c>
      <c r="F5" s="445" t="s">
        <v>211</v>
      </c>
      <c r="G5" s="432">
        <f>SUM(G6:G11)</f>
        <v>0.25554183937058211</v>
      </c>
      <c r="H5" s="432">
        <f>SUM(H6:H11)</f>
        <v>5.8209020103093263E-2</v>
      </c>
      <c r="I5" s="447" t="s">
        <v>211</v>
      </c>
      <c r="J5" s="447" t="s">
        <v>211</v>
      </c>
      <c r="K5" s="447" t="s">
        <v>211</v>
      </c>
      <c r="L5" s="447" t="s">
        <v>211</v>
      </c>
      <c r="M5" s="432">
        <f>SUM(M6:M11)</f>
        <v>1.4041963477962223E-2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4.0592821449175652E-6</v>
      </c>
      <c r="C6" s="433"/>
      <c r="D6" s="433">
        <f>vkm_2011_GW_PW*SUMIFS(TableVerdeelsleutelVkm[CNG],TableVerdeelsleutelVkm[Voertuigtype],"Lichte voertuigen")*SUMIFS(TableECFTransport[EnergieConsumptieFactor (PJ per km)],TableECFTransport[Index],CONCATENATE($A6,"_CNG_CNG"))</f>
        <v>9.9128349791188778E-6</v>
      </c>
      <c r="E6" s="435">
        <f>vkm_2011_GW_PW*SUMIFS(TableVerdeelsleutelVkm[LPG],TableVerdeelsleutelVkm[Voertuigtype],"Lichte voertuigen")*SUMIFS(TableECFTransport[EnergieConsumptieFactor (PJ per km)],TableECFTransport[Index],CONCATENATE($A6,"_LPG_LPG"))</f>
        <v>5.8758162940865974E-4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8.4941836533645065E-2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2.2260815021709398E-2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4.80073216244053E-3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2.7201260643487522E-2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1.0974648181633137E-5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1.2118077456562549E-3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3.813505255024891E-6</v>
      </c>
      <c r="C8" s="433"/>
      <c r="D8" s="435">
        <f>vkm_2011_NGW_PW*SUMIFS(TableVerdeelsleutelVkm[CNG],TableVerdeelsleutelVkm[Voertuigtype],"Lichte voertuigen")*SUMIFS(TableECFTransport[EnergieConsumptieFactor (PJ per km)],TableECFTransport[Index],CONCATENATE($A8,"_CNG_CNG"))</f>
        <v>1.6708465022479467E-5</v>
      </c>
      <c r="E8" s="435">
        <f>vkm_2011_NGW_PW*SUMIFS(TableVerdeelsleutelVkm[LPG],TableVerdeelsleutelVkm[Voertuigtype],"Lichte voertuigen")*SUMIFS(TableECFTransport[EnergieConsumptieFactor (PJ per km)],TableECFTransport[Index],CONCATENATE($A8,"_LPG_LPG"))</f>
        <v>9.0858484727228286E-4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0.12408118357017955</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3.5930444334652013E-2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7.1688784040868083E-3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1.9317558623269969E-2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6.7860985502183314E-6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8.6054516577862867E-4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2.1868853888729047</v>
      </c>
      <c r="C14" s="22"/>
      <c r="D14" s="22">
        <f t="shared" ref="D14:M14" si="0">((D5)*10^9/3600)+D12</f>
        <v>7.3948055559995405</v>
      </c>
      <c r="E14" s="22">
        <f t="shared" si="0"/>
        <v>415.60179907803968</v>
      </c>
      <c r="F14" s="22"/>
      <c r="G14" s="22">
        <f t="shared" si="0"/>
        <v>70983.844269606139</v>
      </c>
      <c r="H14" s="22">
        <f t="shared" si="0"/>
        <v>16169.172250859241</v>
      </c>
      <c r="I14" s="22"/>
      <c r="J14" s="22"/>
      <c r="K14" s="22"/>
      <c r="L14" s="22"/>
      <c r="M14" s="22">
        <f t="shared" si="0"/>
        <v>3900.5454105450622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0.21171162965886808</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0.46298906955545011</v>
      </c>
      <c r="C18" s="24"/>
      <c r="D18" s="24">
        <f t="shared" ref="D18:M18" si="1">D14*D16</f>
        <v>1.4937507223119073</v>
      </c>
      <c r="E18" s="24">
        <f t="shared" si="1"/>
        <v>94.34160839071501</v>
      </c>
      <c r="F18" s="24"/>
      <c r="G18" s="24">
        <f t="shared" si="1"/>
        <v>18952.686419984839</v>
      </c>
      <c r="H18" s="24">
        <f t="shared" si="1"/>
        <v>4026.1238904639508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6.850291734356747E-3</v>
      </c>
      <c r="H50" s="323">
        <f t="shared" si="2"/>
        <v>0</v>
      </c>
      <c r="I50" s="323">
        <f t="shared" si="2"/>
        <v>0</v>
      </c>
      <c r="J50" s="323">
        <f t="shared" si="2"/>
        <v>0</v>
      </c>
      <c r="K50" s="323">
        <f t="shared" si="2"/>
        <v>0</v>
      </c>
      <c r="L50" s="323">
        <f t="shared" si="2"/>
        <v>0</v>
      </c>
      <c r="M50" s="323">
        <f t="shared" si="2"/>
        <v>3.0080761031866431E-4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6.850291734356747E-3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3.0080761031866431E-4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1902.8588150990963</v>
      </c>
      <c r="H54" s="22">
        <f t="shared" si="3"/>
        <v>0</v>
      </c>
      <c r="I54" s="22">
        <f t="shared" si="3"/>
        <v>0</v>
      </c>
      <c r="J54" s="22">
        <f t="shared" si="3"/>
        <v>0</v>
      </c>
      <c r="K54" s="22">
        <f t="shared" si="3"/>
        <v>0</v>
      </c>
      <c r="L54" s="22">
        <f t="shared" si="3"/>
        <v>0</v>
      </c>
      <c r="M54" s="22">
        <f t="shared" si="3"/>
        <v>83.557669532962308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0.21171162965886808</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508.06330363145872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1305.3935927682487</v>
      </c>
      <c r="C6" s="1135"/>
      <c r="D6" s="1138"/>
      <c r="E6" s="1138"/>
      <c r="F6" s="1141"/>
      <c r="G6" s="1144"/>
      <c r="H6" s="1132"/>
      <c r="I6" s="1138"/>
      <c r="J6" s="1138"/>
      <c r="K6" s="1138"/>
      <c r="L6" s="1168"/>
      <c r="M6" s="560"/>
      <c r="N6" s="1180"/>
      <c r="O6" s="1181"/>
      <c r="Q6" s="558"/>
      <c r="R6" s="1165"/>
      <c r="S6" s="1165"/>
    </row>
    <row r="7" spans="1:19" s="548" customFormat="1">
      <c r="A7" s="561" t="s">
        <v>252</v>
      </c>
      <c r="B7" s="562">
        <f>N57</f>
        <v>4.8499999999999996</v>
      </c>
      <c r="C7" s="563">
        <f>B100</f>
        <v>5.7058823529411766</v>
      </c>
      <c r="D7" s="564"/>
      <c r="E7" s="564">
        <f>E100</f>
        <v>0</v>
      </c>
      <c r="F7" s="565"/>
      <c r="G7" s="566"/>
      <c r="H7" s="564">
        <f>I100</f>
        <v>0</v>
      </c>
      <c r="I7" s="564">
        <f>G100+F100</f>
        <v>0</v>
      </c>
      <c r="J7" s="564">
        <f>H100+D100+C100</f>
        <v>0</v>
      </c>
      <c r="K7" s="564"/>
      <c r="L7" s="567"/>
      <c r="M7" s="568">
        <f>C7*$C$11+D7*$D$11+E7*$E$11+F7*$F$11+G7*$G$11+H7*$H$11+I7*$I$11+J7*$J$11</f>
        <v>1.1525882352941177</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1310.2435927682486</v>
      </c>
      <c r="C9" s="579">
        <f t="shared" ref="C9:L9" si="0">SUM(C7:C8)</f>
        <v>5.7058823529411766</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1.1525882352941177</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6.9285714285714279</v>
      </c>
      <c r="C16" s="595">
        <f>B101</f>
        <v>8.1512605042016801</v>
      </c>
      <c r="D16" s="596"/>
      <c r="E16" s="596">
        <f>E101</f>
        <v>0</v>
      </c>
      <c r="F16" s="597"/>
      <c r="G16" s="598"/>
      <c r="H16" s="595">
        <f>I101</f>
        <v>0</v>
      </c>
      <c r="I16" s="596">
        <f>G101+F101</f>
        <v>0</v>
      </c>
      <c r="J16" s="596">
        <f>H101+D101+C101</f>
        <v>0</v>
      </c>
      <c r="K16" s="596"/>
      <c r="L16" s="599"/>
      <c r="M16" s="600">
        <f>C16*$C$21+E16*$E$21+H16*$H$21+I16*$I$21+J16*$J$21+D16*$D$21+F16*$F$21+G16*$G$21+K16*$K$21+L16*$L$21</f>
        <v>1.6465546218487395</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6.9285714285714279</v>
      </c>
      <c r="C19" s="578">
        <f>SUM(C16:C18)</f>
        <v>8.1512605042016801</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1.6465546218487395</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23104</v>
      </c>
      <c r="C27" s="840">
        <v>1750</v>
      </c>
      <c r="D27" s="657" t="s">
        <v>877</v>
      </c>
      <c r="E27" s="656" t="s">
        <v>878</v>
      </c>
      <c r="F27" s="656" t="s">
        <v>879</v>
      </c>
      <c r="G27" s="656" t="s">
        <v>880</v>
      </c>
      <c r="H27" s="656" t="s">
        <v>881</v>
      </c>
      <c r="I27" s="656" t="s">
        <v>878</v>
      </c>
      <c r="J27" s="839">
        <v>41108</v>
      </c>
      <c r="K27" s="839">
        <v>41164</v>
      </c>
      <c r="L27" s="656" t="s">
        <v>882</v>
      </c>
      <c r="M27" s="656">
        <v>9.6999999999999993</v>
      </c>
      <c r="N27" s="656">
        <v>4.8499999999999996</v>
      </c>
      <c r="O27" s="656">
        <v>6.9285714285714279</v>
      </c>
      <c r="P27" s="656">
        <v>13.857142857142858</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9.6999999999999993</v>
      </c>
      <c r="N57" s="614">
        <f>SUM(N27:N56)</f>
        <v>4.8499999999999996</v>
      </c>
      <c r="O57" s="614">
        <f t="shared" ref="O57:W57" si="2">SUM(O27:O56)</f>
        <v>6.9285714285714279</v>
      </c>
      <c r="P57" s="614">
        <f t="shared" si="2"/>
        <v>13.857142857142858</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9.6999999999999993</v>
      </c>
      <c r="N60" s="619">
        <f t="shared" ref="N60:W60" si="4">SUMIF($Z$27:$Z$56,"landbouw",N27:N56)</f>
        <v>4.8499999999999996</v>
      </c>
      <c r="O60" s="619">
        <f t="shared" si="4"/>
        <v>6.9285714285714279</v>
      </c>
      <c r="P60" s="619">
        <f t="shared" si="4"/>
        <v>13.857142857142858</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0.58823529411764697</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5.7058823529411766</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8.1512605042016801</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2018-06-27T09:18:05Z</dcterms:modified>
</cp:coreProperties>
</file>