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F20" i="14"/>
  <c r="H17"/>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D18" i="22"/>
  <c r="E45" i="14" s="1"/>
  <c r="E46" s="1"/>
  <c r="E19"/>
  <c r="E20" s="1"/>
  <c r="O28" i="48"/>
  <c r="H22"/>
  <c r="K31"/>
  <c r="L26"/>
  <c r="M30"/>
  <c r="M29"/>
  <c r="M25"/>
  <c r="M24"/>
  <c r="I31"/>
  <c r="C50" i="13"/>
  <c r="J5" s="1"/>
  <c r="J8" s="1"/>
  <c r="C5" i="48"/>
  <c r="C14" s="1"/>
  <c r="L12" i="17" l="1"/>
  <c r="M48" i="14" s="1"/>
  <c r="E12" i="17"/>
  <c r="F48" i="14" s="1"/>
  <c r="C19"/>
  <c r="C20" s="1"/>
  <c r="J78"/>
  <c r="J81" s="1"/>
  <c r="I19" i="18"/>
  <c r="E7" i="48"/>
  <c r="E24" s="1"/>
  <c r="I7" i="18"/>
  <c r="J67" i="14" s="1"/>
  <c r="M14" i="22"/>
  <c r="J7" i="18"/>
  <c r="M7" s="1"/>
  <c r="M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K67" i="14"/>
  <c r="K69" s="1"/>
  <c r="Q7" i="48"/>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8" i="48" l="1"/>
  <c r="F25" s="1"/>
  <c r="F31" s="1"/>
  <c r="K13" i="14"/>
  <c r="K15" s="1"/>
  <c r="K23" s="1"/>
  <c r="F22" i="16"/>
  <c r="G39" i="14" s="1"/>
  <c r="G41" s="1"/>
  <c r="G53" s="1"/>
  <c r="G55" s="1"/>
  <c r="O69" s="1"/>
  <c r="B9" i="6" s="1"/>
  <c r="B12" s="1"/>
  <c r="Q9" i="48"/>
  <c r="C67" i="14"/>
  <c r="C69"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<sst xmlns="http://schemas.openxmlformats.org/spreadsheetml/2006/main" count="2018" uniqueCount="877">
  <si>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</si>
  <si>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</si>
  <si>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</si>
  <si>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</si>
  <si>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</si>
  <si>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</si>
  <si>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</si>
  <si>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</si>
  <si>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</si>
  <si>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</si>
  <si>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</si>
  <si>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</si>
  <si>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</si>
  <si>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</si>
  <si>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</si>
  <si>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</si>
  <si>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</si>
  <si>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</si>
  <si>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</si>
  <si>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</si>
  <si>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</si>
  <si>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</si>
  <si>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</si>
  <si>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</si>
  <si>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</si>
  <si>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</si>
  <si>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</si>
  <si>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</si>
  <si>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</si>
  <si>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</si>
  <si>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</si>
  <si>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</si>
  <si>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</si>
  <si>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</si>
  <si>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</si>
  <si>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</si>
  <si>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</si>
  <si>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</si>
  <si>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</si>
  <si>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</si>
  <si>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</si>
  <si>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</si>
  <si>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</si>
  <si>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</si>
  <si>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</si>
  <si>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</si>
  <si>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</si>
  <si>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</si>
  <si>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</si>
  <si>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</si>
  <si>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</si>
  <si>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</si>
  <si>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</si>
  <si>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</si>
  <si>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</si>
  <si>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</si>
  <si>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</si>
  <si>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</si>
  <si>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</si>
  <si>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</si>
  <si>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</si>
  <si>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</si>
  <si>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</si>
  <si>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</si>
  <si>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</si>
  <si>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</si>
  <si>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</si>
  <si>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</si>
  <si>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</si>
  <si>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</si>
  <si>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</si>
  <si>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</si>
  <si>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</si>
  <si>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</si>
  <si>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</si>
  <si>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</si>
  <si>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</si>
  <si>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</si>
  <si>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</si>
  <si>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</si>
  <si>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</si>
  <si>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</si>
  <si>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</si>
  <si>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</si>
  <si>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</si>
  <si>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</si>
  <si>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</si>
  <si>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</si>
  <si>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</si>
  <si>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</si>
  <si>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</si>
  <si>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</si>
  <si>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</si>
  <si>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</si>
  <si>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</si>
  <si>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</si>
  <si>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</si>
  <si>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</si>
  <si>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</si>
  <si>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</si>
  <si>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</si>
  <si>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</si>
  <si>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</si>
  <si>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</si>
  <si>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</si>
  <si>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</si>
  <si>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</si>
  <si>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</si>
  <si>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</si>
  <si>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</si>
  <si>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</si>
  <si>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</si>
  <si>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</si>
  <si>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</si>
  <si>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</si>
  <si>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</si>
  <si>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</si>
  <si>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</si>
  <si>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</si>
  <si>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</si>
  <si>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</si>
  <si>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</si>
  <si>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</si>
  <si>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</si>
  <si>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</si>
  <si>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</si>
  <si>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</si>
  <si>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</si>
  <si>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</si>
  <si>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</si>
  <si>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</si>
  <si>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</si>
  <si>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</si>
  <si>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</si>
  <si>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</si>
  <si>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</si>
  <si>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</si>
  <si>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</si>
  <si>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</si>
  <si>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</si>
  <si>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</si>
  <si>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</si>
  <si>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</si>
  <si>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</si>
  <si>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</si>
  <si>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</si>
  <si>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</si>
  <si>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</si>
  <si>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</si>
  <si>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</si>
  <si>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</si>
  <si>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</si>
  <si>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</si>
  <si>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</si>
  <si>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</si>
  <si>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</si>
  <si>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</si>
  <si>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</si>
  <si>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</si>
  <si>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</si>
  <si>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</si>
  <si>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</si>
  <si>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</si>
  <si>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</si>
  <si>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</si>
  <si>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</si>
  <si>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</si>
  <si>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</si>
  <si>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</si>
  <si>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</si>
  <si>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</si>
  <si>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</si>
  <si>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</si>
  <si>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</si>
  <si>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</si>
  <si>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</si>
  <si>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</si>
  <si>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</si>
  <si>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</si>
  <si>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</si>
  <si>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</si>
  <si>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</si>
  <si>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</si>
  <si>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</si>
  <si>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</si>
  <si>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</si>
  <si>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</si>
  <si>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</si>
  <si>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</si>
  <si>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</si>
  <si>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</si>
  <si>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</si>
  <si>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</si>
  <si>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</si>
  <si>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</si>
  <si>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</si>
  <si>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</si>
  <si>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</si>
  <si>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</si>
  <si>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</si>
  <si>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</si>
  <si>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</si>
  <si>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</si>
  <si>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</si>
  <si>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</si>
  <si>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</si>
  <si>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</si>
  <si>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</si>
  <si>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</si>
  <si>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</si>
  <si>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</si>
  <si>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</si>
  <si>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</si>
  <si>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</si>
  <si>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</si>
  <si>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</si>
  <si>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</si>
  <si>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</si>
  <si>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</si>
  <si>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</si>
  <si>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</si>
  <si>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</si>
  <si>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</si>
  <si>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</si>
  <si>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</si>
  <si>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</si>
  <si>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</si>
  <si>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</si>
  <si>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</si>
  <si>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</si>
  <si>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</si>
  <si>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</si>
  <si>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</si>
  <si>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</si>
  <si>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</si>
  <si>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</si>
  <si>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</si>
  <si>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</si>
  <si>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</si>
  <si>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</si>
  <si>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</si>
  <si>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</si>
  <si>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</si>
  <si>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</si>
  <si>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</si>
  <si>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</si>
  <si>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</si>
  <si>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</si>
  <si>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</si>
  <si>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</si>
  <si>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</si>
  <si>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</si>
  <si>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</si>
  <si>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</si>
  <si>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</si>
  <si>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</si>
  <si>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</si>
  <si>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</si>
  <si>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</si>
  <si>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</si>
  <si>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</si>
  <si>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</si>
  <si>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</si>
  <si>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</si>
  <si>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</si>
  <si>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</si>
  <si>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</si>
  <si>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</si>
  <si>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</si>
  <si>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</si>
  <si>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</si>
  <si>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</si>
  <si>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</si>
  <si>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</si>
  <si>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</si>
  <si>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</si>
  <si>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</si>
  <si>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</si>
  <si>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</si>
  <si>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</si>
  <si>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</si>
  <si>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</si>
  <si>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</si>
  <si>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</si>
  <si>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</si>
  <si>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</si>
  <si>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</si>
  <si>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</si>
  <si>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</si>
  <si>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</si>
  <si>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</si>
  <si>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</si>
  <si>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</si>
  <si>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</si>
  <si>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</si>
  <si>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</si>
  <si>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</si>
  <si>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</si>
  <si>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</si>
  <si>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</si>
  <si>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</si>
  <si>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</si>
  <si>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</si>
  <si>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</si>
  <si>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</si>
  <si>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</si>
  <si>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</si>
  <si>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</si>
  <si>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</si>
  <si>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</si>
  <si>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</si>
  <si>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</si>
  <si>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</si>
  <si>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</si>
  <si>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</si>
  <si>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</si>
  <si>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</si>
  <si>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</si>
  <si>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</si>
  <si>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</si>
  <si>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</si>
  <si>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</si>
  <si>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</si>
  <si>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</si>
  <si>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</si>
  <si>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</si>
  <si>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</si>
  <si>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</si>
  <si>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</si>
  <si>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</si>
  <si>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</si>
  <si>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</si>
  <si>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</si>
  <si>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</si>
  <si>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</si>
  <si>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</si>
  <si>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</si>
  <si>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</si>
  <si>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</si>
  <si>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</si>
  <si>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</si>
  <si>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</si>
  <si>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</si>
  <si>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</si>
  <si>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</si>
  <si>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</si>
  <si>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</si>
  <si>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</si>
  <si>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</si>
  <si>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</si>
  <si>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</si>
  <si>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</si>
  <si>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</si>
  <si>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</si>
  <si>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</si>
  <si>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</si>
  <si>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</si>
  <si>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</si>
  <si>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</si>
  <si>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</si>
  <si>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</si>
  <si>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</si>
  <si>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</si>
  <si>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</si>
  <si>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</si>
  <si>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</si>
  <si>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</si>
  <si>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</si>
  <si>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</si>
  <si>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</si>
  <si>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</si>
  <si>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</si>
  <si>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</si>
  <si>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</si>
  <si>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</si>
  <si>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</si>
  <si>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</si>
  <si>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</si>
  <si>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</si>
  <si>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</si>
  <si>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</si>
  <si>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</si>
  <si>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</si>
  <si>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</si>
  <si>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</si>
  <si>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</si>
  <si>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</si>
  <si>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</si>
  <si>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</si>
  <si>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</si>
  <si>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</si>
  <si>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</si>
  <si>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</si>
  <si>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</si>
  <si>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</si>
  <si>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</si>
  <si>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</si>
  <si>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</si>
  <si>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</si>
  <si>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</si>
  <si>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</si>
  <si>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</si>
  <si>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</si>
  <si>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</si>
  <si>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</si>
  <si>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</si>
  <si>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</si>
  <si>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</si>
  <si>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</si>
  <si>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</si>
  <si>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</si>
  <si>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</si>
  <si>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</si>
  <si>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</si>
  <si>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</si>
  <si>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</si>
  <si>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</si>
  <si>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</si>
  <si>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</si>
  <si>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</si>
  <si>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</si>
  <si>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</si>
  <si>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</si>
  <si>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</si>
  <si>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</si>
  <si>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</si>
  <si>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</si>
  <si>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</si>
  <si>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</si>
  <si>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</si>
  <si>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</si>
  <si>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</si>
  <si>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</si>
  <si>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</si>
  <si>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</si>
  <si>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</si>
  <si>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</si>
  <si>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</si>
  <si>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</si>
  <si>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</si>
  <si>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</si>
  <si>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</si>
  <si>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</si>
  <si>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</si>
  <si>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</si>
  <si>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</si>
  <si>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</si>
  <si>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</si>
  <si>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</si>
  <si>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</si>
  <si>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</si>
  <si>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</si>
  <si>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</si>
  <si>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</si>
  <si>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</si>
  <si>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</si>
  <si>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</si>
  <si>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</si>
  <si>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</si>
  <si>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</si>
  <si>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</si>
  <si>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</si>
  <si>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</si>
  <si>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</si>
  <si>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</si>
  <si>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</si>
  <si>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</si>
  <si>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</si>
  <si>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</si>
  <si>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</si>
  <si>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</si>
  <si>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</si>
  <si>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</si>
  <si>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</si>
  <si>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</si>
  <si>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</si>
  <si>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</si>
  <si>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</si>
  <si>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</si>
  <si>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</si>
  <si>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</si>
  <si>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</si>
  <si>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</si>
  <si>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</si>
  <si>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</si>
  <si>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</si>
  <si>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</si>
  <si>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</si>
  <si>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</si>
  <si>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</si>
  <si>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</si>
  <si>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</si>
  <si>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</si>
  <si>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</si>
  <si>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</si>
  <si>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</si>
  <si>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</si>
  <si>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</si>
  <si>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</si>
  <si>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</si>
  <si>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</si>
  <si>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</si>
  <si>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</si>
  <si>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</si>
  <si>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</si>
  <si>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</si>
  <si>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</si>
  <si>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</si>
  <si>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</si>
  <si>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</si>
  <si>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</si>
  <si>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</si>
  <si>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</si>
  <si>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</si>
  <si>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</si>
  <si>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</si>
  <si>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</si>
  <si>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</si>
  <si>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</si>
  <si>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</si>
  <si>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</si>
  <si>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</si>
  <si>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</si>
  <si>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</si>
  <si>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</si>
  <si>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</si>
  <si>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</si>
  <si>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</si>
  <si>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</si>
  <si>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</si>
  <si>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</si>
  <si>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</si>
  <si>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</si>
  <si>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</si>
  <si>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</si>
  <si>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</si>
  <si>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</si>
  <si>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</si>
  <si>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</si>
  <si>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</si>
  <si>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</si>
  <si>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</si>
  <si>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</si>
  <si>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</si>
  <si>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</si>
  <si>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</si>
  <si>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</si>
  <si>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</si>
  <si>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</si>
  <si>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</si>
  <si>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</si>
  <si>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</si>
  <si>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</si>
  <si>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</si>
  <si>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</si>
  <si>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</si>
  <si>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</si>
  <si>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</si>
  <si>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</si>
  <si>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</si>
  <si>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</si>
  <si>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</si>
  <si>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</si>
  <si>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</si>
  <si>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</si>
  <si>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</si>
  <si>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</si>
  <si>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</si>
  <si>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</si>
  <si>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</si>
  <si>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</si>
  <si>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</si>
  <si>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</si>
  <si>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</si>
  <si>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</si>
  <si>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</si>
  <si>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</si>
  <si>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</si>
  <si>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</si>
  <si>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</si>
  <si>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</si>
  <si>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</si>
  <si>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</si>
  <si>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</si>
  <si>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</si>
  <si>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</si>
  <si>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</si>
  <si>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</si>
  <si>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</si>
  <si>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</si>
  <si>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</si>
  <si>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</si>
  <si>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</si>
  <si>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</si>
  <si>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</si>
  <si>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</si>
  <si>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</si>
  <si>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</si>
  <si>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</si>
  <si>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</si>
  <si>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</si>
  <si>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</si>
  <si>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</si>
  <si>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</si>
  <si>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</si>
  <si>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</si>
  <si>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</si>
  <si>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</si>
  <si>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</si>
  <si>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</si>
  <si>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</si>
  <si>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</si>
  <si>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</si>
  <si>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</si>
  <si>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</si>
  <si>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</si>
  <si>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</si>
  <si>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</si>
  <si>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</si>
  <si>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</si>
  <si>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</si>
  <si>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</si>
  <si>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</si>
  <si>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</si>
  <si>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</si>
  <si>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</si>
  <si>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</si>
  <si>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</si>
  <si>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</si>
  <si>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</si>
  <si>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</si>
  <si>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</si>
  <si>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</si>
  <si>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</si>
  <si>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</si>
  <si>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</si>
  <si>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</si>
  <si>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</si>
  <si>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</si>
  <si>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</si>
  <si>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</si>
  <si>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</si>
  <si>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</si>
  <si>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</si>
  <si>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</si>
  <si>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</si>
  <si>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</si>
  <si>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</si>
  <si>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</si>
  <si>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</si>
  <si>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</si>
  <si>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</si>
  <si>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</si>
  <si>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</si>
  <si>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</si>
  <si>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</si>
  <si>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</si>
  <si>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</si>
  <si>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</si>
  <si>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</si>
  <si>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</si>
  <si>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</si>
  <si>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</si>
  <si>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</si>
  <si>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</si>
  <si>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</si>
  <si>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</si>
  <si>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</si>
  <si>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</si>
  <si>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</si>
  <si>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</si>
  <si>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</si>
  <si>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</si>
  <si>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</si>
  <si>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</si>
  <si>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</si>
  <si>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</si>
  <si>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</si>
  <si>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</si>
  <si>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</si>
  <si>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</si>
  <si>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</si>
  <si>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</si>
  <si>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</si>
  <si>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</si>
  <si>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</si>
  <si>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</si>
  <si>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</si>
  <si>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</si>
  <si>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</si>
  <si>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</si>
  <si>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</si>
  <si>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</si>
  <si>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</si>
  <si>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</si>
  <si>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</si>
  <si>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</si>
  <si>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</si>
  <si>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</si>
  <si>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</si>
  <si>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</si>
  <si>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</si>
  <si>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</si>
  <si>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</si>
  <si>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</si>
  <si>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</si>
  <si>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</si>
  <si>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</si>
  <si>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</si>
  <si>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</si>
  <si>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</si>
  <si>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</si>
  <si>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</si>
  <si>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</si>
  <si>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</si>
  <si>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</si>
  <si>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</si>
  <si>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</si>
  <si>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</si>
  <si>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</si>
  <si>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</si>
  <si>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</si>
  <si>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</si>
  <si>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</si>
  <si>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</si>
  <si>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</si>
  <si>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</si>
  <si>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</si>
  <si>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</si>
  <si>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</si>
  <si>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</si>
  <si>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</si>
  <si>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</si>
  <si>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</si>
  <si>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</si>
  <si>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</si>
  <si>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</si>
  <si>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</si>
  <si>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</si>
  <si>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</si>
  <si>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</si>
  <si>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</si>
  <si>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</si>
  <si>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</si>
  <si>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</si>
  <si>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</si>
  <si>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</si>
  <si>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</si>
  <si>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</si>
  <si>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</si>
  <si>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</si>
  <si>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</si>
  <si>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</si>
  <si>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</si>
  <si>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</si>
  <si>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</si>
  <si>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</si>
  <si>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</si>
  <si>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</si>
  <si>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</si>
  <si>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</si>
  <si>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</si>
  <si>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</si>
  <si>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</si>
  <si>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</si>
  <si>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</si>
  <si>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</si>
  <si>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</si>
  <si>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</si>
  <si>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</si>
  <si>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</si>
  <si>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</si>
  <si>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</si>
  <si>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</si>
  <si>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</si>
  <si>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</si>
  <si>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</si>
  <si>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</si>
  <si>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</si>
  <si>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</si>
  <si>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</si>
  <si>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</si>
  <si>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</si>
  <si>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</si>
  <si>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</si>
  <si>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</si>
  <si>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</si>
  <si>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</si>
  <si>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</si>
  <si>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</si>
  <si>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</si>
  <si>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</si>
  <si>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</si>
  <si>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</si>
  <si>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</si>
  <si>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</si>
  <si>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</si>
  <si>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</si>
  <si>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</si>
  <si>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</si>
  <si>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</si>
  <si>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</si>
  <si>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</si>
  <si>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</si>
  <si>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</si>
  <si>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</si>
  <si>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</si>
  <si>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</si>
  <si>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</si>
  <si>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</si>
  <si>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</si>
  <si>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</si>
  <si>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</si>
  <si>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</si>
  <si>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</si>
  <si>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</si>
  <si>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</si>
  <si>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</si>
  <si>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</si>
  <si>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</si>
  <si>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</si>
  <si>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</si>
  <si>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</si>
  <si>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</si>
  <si>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</si>
  <si>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</si>
  <si>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</si>
  <si>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</si>
  <si>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</si>
  <si>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</si>
  <si>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</si>
  <si>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</si>
  <si>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</si>
  <si>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</si>
  <si>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</si>
  <si>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</si>
  <si>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</si>
  <si>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</si>
  <si>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</si>
  <si>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</si>
  <si>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</si>
  <si>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</si>
  <si>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</si>
  <si>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</si>
  <si>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</si>
  <si>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</si>
  <si>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</si>
  <si>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</si>
  <si>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</si>
  <si>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</si>
  <si>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</si>
  <si>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</si>
  <si>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</si>
  <si>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</si>
  <si>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</si>
  <si>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</si>
  <si>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</si>
  <si>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</si>
  <si>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</si>
  <si>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</si>
  <si>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</si>
  <si>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</si>
  <si>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</si>
  <si>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</si>
  <si>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</si>
  <si>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</si>
  <si>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</si>
  <si>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</si>
  <si>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</si>
  <si>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</si>
  <si>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</si>
  <si>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23050</t>
  </si>
  <si>
    <t>MEISE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</si>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</sst>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23050</v>
      </c>
      <c r="B6" s="397"/>
      <c r="C6" s="398"/>
    </row>
    <row r="7" spans="1:7" s="395" customFormat="1" ht="15.75" customHeight="1">
      <c r="A7" s="399" t="str">
        <f>txtMunicipality</f>
        <v>MEISE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23050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7285</v>
      </c>
      <c r="C9" s="338">
        <v>7596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1756</v>
      </c>
    </row>
    <row r="15" spans="1:6">
      <c r="A15" s="1205" t="s">
        <v>184</v>
      </c>
      <c r="B15" s="335">
        <v>6</v>
      </c>
    </row>
    <row r="16" spans="1:6">
      <c r="A16" s="1205" t="s">
        <v>6</v>
      </c>
      <c r="B16" s="335">
        <v>288</v>
      </c>
    </row>
    <row r="17" spans="1:6">
      <c r="A17" s="1205" t="s">
        <v>7</v>
      </c>
      <c r="B17" s="335">
        <v>408</v>
      </c>
    </row>
    <row r="18" spans="1:6">
      <c r="A18" s="1205" t="s">
        <v>8</v>
      </c>
      <c r="B18" s="335">
        <v>542</v>
      </c>
    </row>
    <row r="19" spans="1:6">
      <c r="A19" s="1205" t="s">
        <v>9</v>
      </c>
      <c r="B19" s="335">
        <v>515</v>
      </c>
    </row>
    <row r="20" spans="1:6">
      <c r="A20" s="1205" t="s">
        <v>10</v>
      </c>
      <c r="B20" s="335">
        <v>435</v>
      </c>
    </row>
    <row r="21" spans="1:6">
      <c r="A21" s="1205" t="s">
        <v>11</v>
      </c>
      <c r="B21" s="335">
        <v>0</v>
      </c>
    </row>
    <row r="22" spans="1:6">
      <c r="A22" s="1205" t="s">
        <v>12</v>
      </c>
      <c r="B22" s="335">
        <v>6</v>
      </c>
    </row>
    <row r="23" spans="1:6">
      <c r="A23" s="1205" t="s">
        <v>13</v>
      </c>
      <c r="B23" s="335">
        <v>0</v>
      </c>
    </row>
    <row r="24" spans="1:6">
      <c r="A24" s="1205" t="s">
        <v>14</v>
      </c>
      <c r="B24" s="335">
        <v>0</v>
      </c>
    </row>
    <row r="25" spans="1:6">
      <c r="A25" s="1205" t="s">
        <v>15</v>
      </c>
      <c r="B25" s="335">
        <v>0</v>
      </c>
    </row>
    <row r="26" spans="1:6">
      <c r="A26" s="1205" t="s">
        <v>16</v>
      </c>
      <c r="B26" s="335">
        <v>441</v>
      </c>
    </row>
    <row r="27" spans="1:6">
      <c r="A27" s="1205" t="s">
        <v>17</v>
      </c>
      <c r="B27" s="335">
        <v>0</v>
      </c>
    </row>
    <row r="28" spans="1:6" s="341" customFormat="1">
      <c r="A28" s="1206" t="s">
        <v>18</v>
      </c>
      <c r="B28" s="1206">
        <v>10</v>
      </c>
    </row>
    <row r="29" spans="1:6">
      <c r="A29" s="1206" t="s">
        <v>873</v>
      </c>
      <c r="B29" s="1206">
        <v>170</v>
      </c>
      <c r="C29" s="341"/>
      <c r="D29" s="341"/>
      <c r="E29" s="341"/>
      <c r="F29" s="341"/>
    </row>
    <row r="30" spans="1:6">
      <c r="A30" s="1201" t="s">
        <v>874</v>
      </c>
      <c r="B30" s="1201">
        <v>10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6</v>
      </c>
      <c r="F38" s="335">
        <v>20512.295316957901</v>
      </c>
    </row>
    <row r="39" spans="1:6">
      <c r="A39" s="1205" t="s">
        <v>30</v>
      </c>
      <c r="B39" s="1205" t="s">
        <v>31</v>
      </c>
      <c r="C39" s="335">
        <v>4427</v>
      </c>
      <c r="D39" s="335">
        <v>94659848.100296393</v>
      </c>
      <c r="E39" s="335">
        <v>7258</v>
      </c>
      <c r="F39" s="335">
        <v>35045850.573568799</v>
      </c>
    </row>
    <row r="40" spans="1:6">
      <c r="A40" s="1205" t="s">
        <v>30</v>
      </c>
      <c r="B40" s="1205" t="s">
        <v>29</v>
      </c>
      <c r="C40" s="335">
        <v>0</v>
      </c>
      <c r="D40" s="335">
        <v>0</v>
      </c>
      <c r="E40" s="335">
        <v>0</v>
      </c>
      <c r="F40" s="335">
        <v>0</v>
      </c>
    </row>
    <row r="41" spans="1:6">
      <c r="A41" s="1205" t="s">
        <v>32</v>
      </c>
      <c r="B41" s="1205" t="s">
        <v>33</v>
      </c>
      <c r="C41" s="335">
        <v>16</v>
      </c>
      <c r="D41" s="335">
        <v>481554.17196805403</v>
      </c>
      <c r="E41" s="335">
        <v>56</v>
      </c>
      <c r="F41" s="335">
        <v>1310424.1690636501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6</v>
      </c>
      <c r="F44" s="335">
        <v>294445.14545464102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19</v>
      </c>
      <c r="D48" s="335">
        <v>4250880.6730199</v>
      </c>
      <c r="E48" s="335">
        <v>40</v>
      </c>
      <c r="F48" s="335">
        <v>4615817.6413502898</v>
      </c>
    </row>
    <row r="49" spans="1:6">
      <c r="A49" s="1205" t="s">
        <v>32</v>
      </c>
      <c r="B49" s="1205" t="s">
        <v>40</v>
      </c>
      <c r="C49" s="335">
        <v>0</v>
      </c>
      <c r="D49" s="335">
        <v>0</v>
      </c>
      <c r="E49" s="335">
        <v>0</v>
      </c>
      <c r="F49" s="335">
        <v>0</v>
      </c>
    </row>
    <row r="50" spans="1:6">
      <c r="A50" s="1205" t="s">
        <v>32</v>
      </c>
      <c r="B50" s="1205" t="s">
        <v>41</v>
      </c>
      <c r="C50" s="335">
        <v>3</v>
      </c>
      <c r="D50" s="335">
        <v>229724.22854329</v>
      </c>
      <c r="E50" s="335">
        <v>6</v>
      </c>
      <c r="F50" s="335">
        <v>145640.76844130899</v>
      </c>
    </row>
    <row r="51" spans="1:6">
      <c r="A51" s="1205" t="s">
        <v>42</v>
      </c>
      <c r="B51" s="1205" t="s">
        <v>43</v>
      </c>
      <c r="C51" s="335">
        <v>3</v>
      </c>
      <c r="D51" s="335">
        <v>44455.124944112002</v>
      </c>
      <c r="E51" s="335">
        <v>41</v>
      </c>
      <c r="F51" s="335">
        <v>686388.21595699503</v>
      </c>
    </row>
    <row r="52" spans="1:6">
      <c r="A52" s="1205" t="s">
        <v>42</v>
      </c>
      <c r="B52" s="1205" t="s">
        <v>29</v>
      </c>
      <c r="C52" s="335">
        <v>2</v>
      </c>
      <c r="D52" s="335">
        <v>131272.47529122201</v>
      </c>
      <c r="E52" s="335">
        <v>8</v>
      </c>
      <c r="F52" s="335">
        <v>64092.110579560802</v>
      </c>
    </row>
    <row r="53" spans="1:6">
      <c r="A53" s="1205" t="s">
        <v>44</v>
      </c>
      <c r="B53" s="1205" t="s">
        <v>45</v>
      </c>
      <c r="C53" s="335">
        <v>109</v>
      </c>
      <c r="D53" s="335">
        <v>3268837.9190112101</v>
      </c>
      <c r="E53" s="335">
        <v>200</v>
      </c>
      <c r="F53" s="335">
        <v>1081018.35935536</v>
      </c>
    </row>
    <row r="54" spans="1:6">
      <c r="A54" s="1205" t="s">
        <v>46</v>
      </c>
      <c r="B54" s="1205" t="s">
        <v>47</v>
      </c>
      <c r="C54" s="335">
        <v>0</v>
      </c>
      <c r="D54" s="335">
        <v>0</v>
      </c>
      <c r="E54" s="335">
        <v>1</v>
      </c>
      <c r="F54" s="335">
        <v>2251266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60</v>
      </c>
      <c r="D57" s="335">
        <v>4985064.3954835804</v>
      </c>
      <c r="E57" s="335">
        <v>123</v>
      </c>
      <c r="F57" s="335">
        <v>2708937.7769448399</v>
      </c>
    </row>
    <row r="58" spans="1:6">
      <c r="A58" s="1205" t="s">
        <v>49</v>
      </c>
      <c r="B58" s="1205" t="s">
        <v>51</v>
      </c>
      <c r="C58" s="335">
        <v>13</v>
      </c>
      <c r="D58" s="335">
        <v>567924.56363448198</v>
      </c>
      <c r="E58" s="335">
        <v>34</v>
      </c>
      <c r="F58" s="335">
        <v>389550.139655707</v>
      </c>
    </row>
    <row r="59" spans="1:6">
      <c r="A59" s="1205" t="s">
        <v>49</v>
      </c>
      <c r="B59" s="1205" t="s">
        <v>52</v>
      </c>
      <c r="C59" s="335">
        <v>53</v>
      </c>
      <c r="D59" s="335">
        <v>2039405.8023993201</v>
      </c>
      <c r="E59" s="335">
        <v>145</v>
      </c>
      <c r="F59" s="335">
        <v>3890402.2900875001</v>
      </c>
    </row>
    <row r="60" spans="1:6">
      <c r="A60" s="1205" t="s">
        <v>49</v>
      </c>
      <c r="B60" s="1205" t="s">
        <v>53</v>
      </c>
      <c r="C60" s="335">
        <v>31</v>
      </c>
      <c r="D60" s="335">
        <v>2507161.90622437</v>
      </c>
      <c r="E60" s="335">
        <v>61</v>
      </c>
      <c r="F60" s="335">
        <v>1591452.31764393</v>
      </c>
    </row>
    <row r="61" spans="1:6">
      <c r="A61" s="1205" t="s">
        <v>49</v>
      </c>
      <c r="B61" s="1205" t="s">
        <v>54</v>
      </c>
      <c r="C61" s="335">
        <v>121</v>
      </c>
      <c r="D61" s="335">
        <v>16248603.2649749</v>
      </c>
      <c r="E61" s="335">
        <v>295</v>
      </c>
      <c r="F61" s="335">
        <v>4209639.4282712303</v>
      </c>
    </row>
    <row r="62" spans="1:6">
      <c r="A62" s="1205" t="s">
        <v>49</v>
      </c>
      <c r="B62" s="1205" t="s">
        <v>55</v>
      </c>
      <c r="C62" s="335">
        <v>0</v>
      </c>
      <c r="D62" s="335">
        <v>0</v>
      </c>
      <c r="E62" s="335">
        <v>3</v>
      </c>
      <c r="F62" s="335">
        <v>20479.431410512399</v>
      </c>
    </row>
    <row r="63" spans="1:6">
      <c r="A63" s="1205" t="s">
        <v>49</v>
      </c>
      <c r="B63" s="1205" t="s">
        <v>29</v>
      </c>
      <c r="C63" s="335">
        <v>142</v>
      </c>
      <c r="D63" s="335">
        <v>5804110.2507793</v>
      </c>
      <c r="E63" s="335">
        <v>159</v>
      </c>
      <c r="F63" s="335">
        <v>2579700.09639672</v>
      </c>
    </row>
    <row r="64" spans="1:6">
      <c r="A64" s="1205" t="s">
        <v>56</v>
      </c>
      <c r="B64" s="1205" t="s">
        <v>57</v>
      </c>
      <c r="C64" s="335">
        <v>0</v>
      </c>
      <c r="D64" s="335">
        <v>0</v>
      </c>
      <c r="E64" s="335">
        <v>0</v>
      </c>
      <c r="F64" s="335">
        <v>0</v>
      </c>
    </row>
    <row r="65" spans="1:6">
      <c r="A65" s="1205" t="s">
        <v>56</v>
      </c>
      <c r="B65" s="1205" t="s">
        <v>29</v>
      </c>
      <c r="C65" s="335">
        <v>4</v>
      </c>
      <c r="D65" s="335">
        <v>119082.058842226</v>
      </c>
      <c r="E65" s="335">
        <v>5</v>
      </c>
      <c r="F65" s="335">
        <v>34262.124732288503</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169611.54848636</v>
      </c>
      <c r="E68" s="335">
        <v>16</v>
      </c>
      <c r="F68" s="335">
        <v>194769.011181968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88646121</v>
      </c>
      <c r="E73" s="335">
        <v>90815133.065010458</v>
      </c>
    </row>
    <row r="74" spans="1:6">
      <c r="A74" s="1205" t="s">
        <v>64</v>
      </c>
      <c r="B74" s="1205" t="s">
        <v>772</v>
      </c>
      <c r="C74" s="1216" t="s">
        <v>766</v>
      </c>
      <c r="D74" s="335">
        <v>3696634.1427011043</v>
      </c>
      <c r="E74" s="335">
        <v>3862726.3894427451</v>
      </c>
    </row>
    <row r="75" spans="1:6">
      <c r="A75" s="1205" t="s">
        <v>65</v>
      </c>
      <c r="B75" s="1205" t="s">
        <v>771</v>
      </c>
      <c r="C75" s="1216" t="s">
        <v>767</v>
      </c>
      <c r="D75" s="335">
        <v>39707728</v>
      </c>
      <c r="E75" s="335">
        <v>40952118.110770054</v>
      </c>
    </row>
    <row r="76" spans="1:6">
      <c r="A76" s="1205" t="s">
        <v>65</v>
      </c>
      <c r="B76" s="1205" t="s">
        <v>772</v>
      </c>
      <c r="C76" s="1216" t="s">
        <v>768</v>
      </c>
      <c r="D76" s="335">
        <v>1314895.1427011043</v>
      </c>
      <c r="E76" s="335">
        <v>1468287.9211209272</v>
      </c>
    </row>
    <row r="77" spans="1:6">
      <c r="A77" s="1205" t="s">
        <v>66</v>
      </c>
      <c r="B77" s="1205" t="s">
        <v>771</v>
      </c>
      <c r="C77" s="1216" t="s">
        <v>769</v>
      </c>
      <c r="D77" s="335">
        <v>149522888</v>
      </c>
      <c r="E77" s="335">
        <v>166826798.4722949</v>
      </c>
    </row>
    <row r="78" spans="1:6">
      <c r="A78" s="1201" t="s">
        <v>66</v>
      </c>
      <c r="B78" s="1201" t="s">
        <v>772</v>
      </c>
      <c r="C78" s="1201" t="s">
        <v>770</v>
      </c>
      <c r="D78" s="1201">
        <v>18132586</v>
      </c>
      <c r="E78" s="1201">
        <v>20242351.856740095</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1339403.7145977914</v>
      </c>
      <c r="C83" s="335">
        <v>1298198.5296012042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2196.1085831719802</v>
      </c>
    </row>
    <row r="92" spans="1:6">
      <c r="A92" s="1201" t="s">
        <v>69</v>
      </c>
      <c r="B92" s="338">
        <v>561.15374700246548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3173</v>
      </c>
    </row>
    <row r="98" spans="1:6">
      <c r="A98" s="1205" t="s">
        <v>72</v>
      </c>
      <c r="B98" s="335">
        <v>1</v>
      </c>
    </row>
    <row r="99" spans="1:6">
      <c r="A99" s="1205" t="s">
        <v>73</v>
      </c>
      <c r="B99" s="335">
        <v>41</v>
      </c>
    </row>
    <row r="100" spans="1:6">
      <c r="A100" s="1205" t="s">
        <v>74</v>
      </c>
      <c r="B100" s="335">
        <v>622</v>
      </c>
    </row>
    <row r="101" spans="1:6">
      <c r="A101" s="1205" t="s">
        <v>75</v>
      </c>
      <c r="B101" s="335">
        <v>47</v>
      </c>
    </row>
    <row r="102" spans="1:6">
      <c r="A102" s="1205" t="s">
        <v>76</v>
      </c>
      <c r="B102" s="335">
        <v>97</v>
      </c>
    </row>
    <row r="103" spans="1:6">
      <c r="A103" s="1205" t="s">
        <v>77</v>
      </c>
      <c r="B103" s="335">
        <v>88</v>
      </c>
    </row>
    <row r="104" spans="1:6">
      <c r="A104" s="1205" t="s">
        <v>78</v>
      </c>
      <c r="B104" s="335">
        <v>2710</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11</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54</v>
      </c>
    </row>
    <row r="130" spans="1:6">
      <c r="A130" s="1205" t="s">
        <v>295</v>
      </c>
      <c r="B130" s="335">
        <v>0</v>
      </c>
    </row>
    <row r="131" spans="1:6">
      <c r="A131" s="1205" t="s">
        <v>296</v>
      </c>
      <c r="B131" s="335">
        <v>0</v>
      </c>
    </row>
    <row r="132" spans="1:6">
      <c r="A132" s="1201" t="s">
        <v>297</v>
      </c>
      <c r="B132" s="338">
        <v>9</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62006.041222510379</v>
      </c>
      <c r="C3" s="44" t="s">
        <v>170</v>
      </c>
      <c r="D3" s="44"/>
      <c r="E3" s="157"/>
      <c r="F3" s="44"/>
      <c r="G3" s="44"/>
      <c r="H3" s="44"/>
      <c r="I3" s="44"/>
      <c r="J3" s="44"/>
      <c r="K3" s="97"/>
    </row>
    <row r="4" spans="1:11">
      <c r="A4" s="365" t="s">
        <v>171</v>
      </c>
      <c r="B4" s="50">
        <f>IF(ISERROR('SEAP template'!B69),0,'SEAP template'!B69)</f>
        <v>2757.2623301744457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0.21117265151984357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2251.2660000000001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2251.2660000000001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0.21117265151984357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475.40581049647216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35045.850573568801</v>
      </c>
      <c r="C5" s="18">
        <f>IF(ISERROR('Eigen informatie GS &amp; warmtenet'!B57),0,'Eigen informatie GS &amp; warmtenet'!B57)</f>
        <v>0</v>
      </c>
      <c r="D5" s="31">
        <f>(SUM(HH_hh_gas_kWh,HH_rest_gas_kWh)/1000)*0.902</f>
        <v>85383.182986467349</v>
      </c>
      <c r="E5" s="18">
        <f>B46*B57</f>
        <v>1599.0564729156615</v>
      </c>
      <c r="F5" s="18">
        <f>B51*B62</f>
        <v>31216.65301563208</v>
      </c>
      <c r="G5" s="19"/>
      <c r="H5" s="18"/>
      <c r="I5" s="18"/>
      <c r="J5" s="18">
        <f>B50*B61+C50*C61</f>
        <v>0</v>
      </c>
      <c r="K5" s="18"/>
      <c r="L5" s="18"/>
      <c r="M5" s="18"/>
      <c r="N5" s="18">
        <f>B48*B59+C48*C59</f>
        <v>5952.9555186598154</v>
      </c>
      <c r="O5" s="18">
        <f>B69*B70*B71</f>
        <v>101.61666666666667</v>
      </c>
      <c r="P5" s="18">
        <f>B77*B78*B79/1000-B77*B78*B79/1000/B80</f>
        <v>381.33333333333337</v>
      </c>
    </row>
    <row r="6" spans="1:16">
      <c r="A6" s="17" t="s">
        <v>639</v>
      </c>
      <c r="B6" s="831">
        <f>kWh_PV_kleiner_dan_10kW</f>
        <v>2196.1085831719802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37241.959156740784</v>
      </c>
      <c r="C8" s="22">
        <f>C5</f>
        <v>0</v>
      </c>
      <c r="D8" s="22">
        <f>D5</f>
        <v>85383.182986467349</v>
      </c>
      <c r="E8" s="22">
        <f>E5</f>
        <v>1599.0564729156615</v>
      </c>
      <c r="F8" s="22">
        <f>F5</f>
        <v>31216.65301563208</v>
      </c>
      <c r="G8" s="22"/>
      <c r="H8" s="22"/>
      <c r="I8" s="22"/>
      <c r="J8" s="22">
        <f>J5</f>
        <v>0</v>
      </c>
      <c r="K8" s="22"/>
      <c r="L8" s="22">
        <f>L5</f>
        <v>0</v>
      </c>
      <c r="M8" s="22">
        <f>M5</f>
        <v>0</v>
      </c>
      <c r="N8" s="22">
        <f>N5</f>
        <v>5952.9555186598154</v>
      </c>
      <c r="O8" s="22">
        <f>O5</f>
        <v>101.61666666666667</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0.21117265151984357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7864.4832629226694</v>
      </c>
      <c r="C12" s="24">
        <f ca="1">C10*C8</f>
        <v>0</v>
      </c>
      <c r="D12" s="24">
        <f>D8*D10</f>
        <v>17247.402963266406</v>
      </c>
      <c r="E12" s="24">
        <f>E10*E8</f>
        <v>362.98581935185518</v>
      </c>
      <c r="F12" s="24">
        <f>F10*F8</f>
        <v>8334.8463551737659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3173</v>
      </c>
      <c r="C18" s="169" t="s">
        <v>111</v>
      </c>
      <c r="D18" s="231"/>
      <c r="E18" s="16"/>
    </row>
    <row r="19" spans="1:7">
      <c r="A19" s="174" t="s">
        <v>72</v>
      </c>
      <c r="B19" s="38">
        <f>aantalw2001_ander</f>
        <v>1</v>
      </c>
      <c r="C19" s="169" t="s">
        <v>111</v>
      </c>
      <c r="D19" s="232"/>
      <c r="E19" s="16"/>
    </row>
    <row r="20" spans="1:7">
      <c r="A20" s="174" t="s">
        <v>73</v>
      </c>
      <c r="B20" s="38">
        <f>aantalw2001_propaan</f>
        <v>41</v>
      </c>
      <c r="C20" s="170">
        <f>IF(ISERROR(B20/SUM($B$20,$B$21,$B$22)*100),0,B20/SUM($B$20,$B$21,$B$22)*100)</f>
        <v>5.774647887323944</v>
      </c>
      <c r="D20" s="232"/>
      <c r="E20" s="16"/>
    </row>
    <row r="21" spans="1:7">
      <c r="A21" s="174" t="s">
        <v>74</v>
      </c>
      <c r="B21" s="38">
        <f>aantalw2001_elektriciteit</f>
        <v>622</v>
      </c>
      <c r="C21" s="170">
        <f>IF(ISERROR(B21/SUM($B$20,$B$21,$B$22)*100),0,B21/SUM($B$20,$B$21,$B$22)*100)</f>
        <v>87.605633802816911</v>
      </c>
      <c r="D21" s="232"/>
      <c r="E21" s="16"/>
    </row>
    <row r="22" spans="1:7">
      <c r="A22" s="174" t="s">
        <v>75</v>
      </c>
      <c r="B22" s="38">
        <f>aantalw2001_hout</f>
        <v>47</v>
      </c>
      <c r="C22" s="170">
        <f>IF(ISERROR(B22/SUM($B$20,$B$21,$B$22)*100),0,B22/SUM($B$20,$B$21,$B$22)*100)</f>
        <v>6.6197183098591541</v>
      </c>
      <c r="D22" s="232"/>
      <c r="E22" s="16"/>
    </row>
    <row r="23" spans="1:7">
      <c r="A23" s="174" t="s">
        <v>76</v>
      </c>
      <c r="B23" s="38">
        <f>aantalw2001_niet_gespec</f>
        <v>97</v>
      </c>
      <c r="C23" s="169" t="s">
        <v>111</v>
      </c>
      <c r="D23" s="231"/>
      <c r="E23" s="16"/>
    </row>
    <row r="24" spans="1:7">
      <c r="A24" s="174" t="s">
        <v>77</v>
      </c>
      <c r="B24" s="38">
        <f>aantalw2001_steenkool</f>
        <v>88</v>
      </c>
      <c r="C24" s="169" t="s">
        <v>111</v>
      </c>
      <c r="D24" s="232"/>
      <c r="E24" s="16"/>
    </row>
    <row r="25" spans="1:7">
      <c r="A25" s="174" t="s">
        <v>78</v>
      </c>
      <c r="B25" s="38">
        <f>aantalw2001_stookolie</f>
        <v>2710</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7285</v>
      </c>
      <c r="C28" s="37"/>
      <c r="D28" s="231"/>
    </row>
    <row r="29" spans="1:7" s="16" customFormat="1">
      <c r="A29" s="233" t="s">
        <v>666</v>
      </c>
      <c r="B29" s="38">
        <f>SUM(HH_hh_gas_aantal,HH_rest_gas_aantal)</f>
        <v>4427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4427</v>
      </c>
      <c r="C32" s="170">
        <f>IF(ISERROR(B32/SUM($B$32,$B$34,$B$35,$B$36,$B$38,$B$39)*100),0,B32/SUM($B$32,$B$34,$B$35,$B$36,$B$38,$B$39)*100)</f>
        <v>60.935994494150037</v>
      </c>
      <c r="D32" s="236"/>
      <c r="G32" s="16"/>
    </row>
    <row r="33" spans="1:7">
      <c r="A33" s="174" t="s">
        <v>72</v>
      </c>
      <c r="B33" s="35" t="s">
        <v>111</v>
      </c>
      <c r="C33" s="170"/>
      <c r="D33" s="236"/>
      <c r="G33" s="16"/>
    </row>
    <row r="34" spans="1:7">
      <c r="A34" s="174" t="s">
        <v>73</v>
      </c>
      <c r="B34" s="34">
        <f>IF((($B$28-$B$32-$B$39-$B$77-$B$38)*C20/100)&lt;0,0,($B$28-$B$32-$B$39-$B$77-$B$38)*C20/100)</f>
        <v>72.564225352112686</v>
      </c>
      <c r="C34" s="170">
        <f>IF(ISERROR(B34/SUM($B$32,$B$34,$B$35,$B$36,$B$38,$B$39)*100),0,B34/SUM($B$32,$B$34,$B$35,$B$36,$B$38,$B$39)*100)</f>
        <v>0.99881934414470308</v>
      </c>
      <c r="D34" s="236"/>
      <c r="G34" s="16"/>
    </row>
    <row r="35" spans="1:7">
      <c r="A35" s="174" t="s">
        <v>74</v>
      </c>
      <c r="B35" s="34">
        <f>IF((($B$28-$B$32-$B$39-$B$77-$B$38)*C21/100)&lt;0,0,($B$28-$B$32-$B$39-$B$77-$B$38)*C21/100)</f>
        <v>1100.8523943661974</v>
      </c>
      <c r="C35" s="170">
        <f>IF(ISERROR(B35/SUM($B$32,$B$34,$B$35,$B$36,$B$38,$B$39)*100),0,B35/SUM($B$32,$B$34,$B$35,$B$36,$B$38,$B$39)*100)</f>
        <v>15.152820294097694</v>
      </c>
      <c r="D35" s="236"/>
      <c r="G35" s="16"/>
    </row>
    <row r="36" spans="1:7">
      <c r="A36" s="174" t="s">
        <v>75</v>
      </c>
      <c r="B36" s="34">
        <f>IF((($B$28-$B$32-$B$39-$B$77-$B$38)*C22/100)&lt;0,0,($B$28-$B$32-$B$39-$B$77-$B$38)*C22/100)</f>
        <v>83.183380281690134</v>
      </c>
      <c r="C36" s="170">
        <f>IF(ISERROR(B36/SUM($B$32,$B$34,$B$35,$B$36,$B$38,$B$39)*100),0,B36/SUM($B$32,$B$34,$B$35,$B$36,$B$38,$B$39)*100)</f>
        <v>1.1449880286536838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1581.3999999999999</v>
      </c>
      <c r="C39" s="170">
        <f>IF(ISERROR(B39/SUM($B$32,$B$34,$B$35,$B$36,$B$38,$B$39)*100),0,B39/SUM($B$32,$B$34,$B$35,$B$36,$B$38,$B$39)*100)</f>
        <v>21.767377838953887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4427</v>
      </c>
      <c r="C44" s="35" t="s">
        <v>111</v>
      </c>
      <c r="D44" s="177"/>
    </row>
    <row r="45" spans="1:7">
      <c r="A45" s="174" t="s">
        <v>72</v>
      </c>
      <c r="B45" s="34" t="str">
        <f t="shared" si="0"/>
        <v>-</v>
      </c>
      <c r="C45" s="35" t="s">
        <v>111</v>
      </c>
      <c r="D45" s="177"/>
    </row>
    <row r="46" spans="1:7">
      <c r="A46" s="174" t="s">
        <v>73</v>
      </c>
      <c r="B46" s="34">
        <f t="shared" si="0"/>
        <v>72.564225352112686</v>
      </c>
      <c r="C46" s="35" t="s">
        <v>111</v>
      </c>
      <c r="D46" s="177"/>
    </row>
    <row r="47" spans="1:7">
      <c r="A47" s="174" t="s">
        <v>74</v>
      </c>
      <c r="B47" s="34">
        <f t="shared" si="0"/>
        <v>1100.8523943661974</v>
      </c>
      <c r="C47" s="35" t="s">
        <v>111</v>
      </c>
      <c r="D47" s="177"/>
    </row>
    <row r="48" spans="1:7">
      <c r="A48" s="174" t="s">
        <v>75</v>
      </c>
      <c r="B48" s="34">
        <f t="shared" si="0"/>
        <v>83.183380281690134</v>
      </c>
      <c r="C48" s="34">
        <f>B48*10</f>
        <v>831.83380281690131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1581.3999999999999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15390.161480410439</v>
      </c>
      <c r="C5" s="18">
        <f>IF(ISERROR('Eigen informatie GS &amp; warmtenet'!B58),0,'Eigen informatie GS &amp; warmtenet'!B58)</f>
        <v>0</v>
      </c>
      <c r="D5" s="31">
        <f>SUM(D6:D12)</f>
        <v>29001.347705513352</v>
      </c>
      <c r="E5" s="18">
        <f>SUM(E6:E12)</f>
        <v>155.29400258026197</v>
      </c>
      <c r="F5" s="18">
        <f>SUM(F6:F12)</f>
        <v>3101.6637907915438</v>
      </c>
      <c r="G5" s="19"/>
      <c r="H5" s="18"/>
      <c r="I5" s="18"/>
      <c r="J5" s="18">
        <f>SUM(J6:J12)</f>
        <v>0</v>
      </c>
      <c r="K5" s="18"/>
      <c r="L5" s="18"/>
      <c r="M5" s="18"/>
      <c r="N5" s="18">
        <f>SUM(N6:N12)</f>
        <v>1756.162845926571</v>
      </c>
      <c r="O5" s="18">
        <f>B38*B39*B40</f>
        <v>0</v>
      </c>
      <c r="P5" s="18">
        <f>B46*B47*B48/1000-B46*B47*B48/1000/B49</f>
        <v>0</v>
      </c>
      <c r="R5" s="33"/>
    </row>
    <row r="6" spans="1:18">
      <c r="A6" s="33" t="s">
        <v>54</v>
      </c>
      <c r="B6" s="38">
        <f>B26</f>
        <v>4209.6394282712299</v>
      </c>
      <c r="C6" s="34"/>
      <c r="D6" s="38">
        <f>IF(ISERROR(TER_kantoor_gas_kWh/1000),0,TER_kantoor_gas_kWh/1000)*0.902</f>
        <v>14656.240145007359</v>
      </c>
      <c r="E6" s="34">
        <f>$C$26*'E Balans VL '!I12/100/3.6*1000000</f>
        <v>6.9088714940381104</v>
      </c>
      <c r="F6" s="34">
        <f>$C$26*('E Balans VL '!L12+'E Balans VL '!N12)/100/3.6*1000000</f>
        <v>496.21744115615672</v>
      </c>
      <c r="G6" s="35"/>
      <c r="H6" s="34"/>
      <c r="I6" s="34"/>
      <c r="J6" s="34">
        <f>$C$26*('E Balans VL '!D12+'E Balans VL '!E12)/100/3.6*1000000</f>
        <v>0</v>
      </c>
      <c r="K6" s="34"/>
      <c r="L6" s="34"/>
      <c r="M6" s="34"/>
      <c r="N6" s="34">
        <f>$C$26*'E Balans VL '!Y12/100/3.6*1000000</f>
        <v>0.85053771220754193</v>
      </c>
      <c r="O6" s="34"/>
      <c r="P6" s="34"/>
      <c r="R6" s="33"/>
    </row>
    <row r="7" spans="1:18">
      <c r="A7" s="33" t="s">
        <v>53</v>
      </c>
      <c r="B7" s="38">
        <f t="shared" ref="B7:B12" si="0">B27</f>
        <v>1591.45231764393</v>
      </c>
      <c r="C7" s="34"/>
      <c r="D7" s="38">
        <f>IF(ISERROR(TER_horeca_gas_kWh/1000),0,TER_horeca_gas_kWh/1000)*0.902</f>
        <v>2261.4600394143818</v>
      </c>
      <c r="E7" s="34">
        <f>$C$27*'E Balans VL '!I9/100/3.6*1000000</f>
        <v>82.584859290316388</v>
      </c>
      <c r="F7" s="34">
        <f>$C$27*('E Balans VL '!L9+'E Balans VL '!N9)/100/3.6*1000000</f>
        <v>363.17057364986982</v>
      </c>
      <c r="G7" s="35"/>
      <c r="H7" s="34"/>
      <c r="I7" s="34"/>
      <c r="J7" s="34">
        <f>$C$27*('E Balans VL '!D9+'E Balans VL '!E9)/100/3.6*1000000</f>
        <v>0</v>
      </c>
      <c r="K7" s="34"/>
      <c r="L7" s="34"/>
      <c r="M7" s="34"/>
      <c r="N7" s="34">
        <f>$C$27*'E Balans VL '!Y9/100/3.6*1000000</f>
        <v>0.16805663542835636</v>
      </c>
      <c r="O7" s="34"/>
      <c r="P7" s="34"/>
      <c r="R7" s="33"/>
    </row>
    <row r="8" spans="1:18">
      <c r="A8" s="6" t="s">
        <v>52</v>
      </c>
      <c r="B8" s="38">
        <f t="shared" si="0"/>
        <v>3890.4022900875002</v>
      </c>
      <c r="C8" s="34"/>
      <c r="D8" s="38">
        <f>IF(ISERROR(TER_handel_gas_kWh/1000),0,TER_handel_gas_kWh/1000)*0.902</f>
        <v>1839.5440337641867</v>
      </c>
      <c r="E8" s="34">
        <f>$C$28*'E Balans VL '!I13/100/3.6*1000000</f>
        <v>20.950294399022411</v>
      </c>
      <c r="F8" s="34">
        <f>$C$28*('E Balans VL '!L13+'E Balans VL '!N13)/100/3.6*1000000</f>
        <v>793.36863929207323</v>
      </c>
      <c r="G8" s="35"/>
      <c r="H8" s="34"/>
      <c r="I8" s="34"/>
      <c r="J8" s="34">
        <f>$C$28*('E Balans VL '!D13+'E Balans VL '!E13)/100/3.6*1000000</f>
        <v>0</v>
      </c>
      <c r="K8" s="34"/>
      <c r="L8" s="34"/>
      <c r="M8" s="34"/>
      <c r="N8" s="34">
        <f>$C$28*'E Balans VL '!Y13/100/3.6*1000000</f>
        <v>19.344916126017292</v>
      </c>
      <c r="O8" s="34"/>
      <c r="P8" s="34"/>
      <c r="R8" s="33"/>
    </row>
    <row r="9" spans="1:18">
      <c r="A9" s="33" t="s">
        <v>51</v>
      </c>
      <c r="B9" s="38">
        <f t="shared" si="0"/>
        <v>389.55013965570697</v>
      </c>
      <c r="C9" s="34"/>
      <c r="D9" s="38">
        <f>IF(ISERROR(TER_gezond_gas_kWh/1000),0,TER_gezond_gas_kWh/1000)*0.902</f>
        <v>512.26795639830277</v>
      </c>
      <c r="E9" s="34">
        <f>$C$29*'E Balans VL '!I10/100/3.6*1000000</f>
        <v>0.38604861834465992</v>
      </c>
      <c r="F9" s="34">
        <f>$C$29*('E Balans VL '!L10+'E Balans VL '!N10)/100/3.6*1000000</f>
        <v>135.16267010852323</v>
      </c>
      <c r="G9" s="35"/>
      <c r="H9" s="34"/>
      <c r="I9" s="34"/>
      <c r="J9" s="34">
        <f>$C$29*('E Balans VL '!D10+'E Balans VL '!E10)/100/3.6*1000000</f>
        <v>0</v>
      </c>
      <c r="K9" s="34"/>
      <c r="L9" s="34"/>
      <c r="M9" s="34"/>
      <c r="N9" s="34">
        <f>$C$29*'E Balans VL '!Y10/100/3.6*1000000</f>
        <v>3.3567198068464199</v>
      </c>
      <c r="O9" s="34"/>
      <c r="P9" s="34"/>
      <c r="R9" s="33"/>
    </row>
    <row r="10" spans="1:18">
      <c r="A10" s="33" t="s">
        <v>50</v>
      </c>
      <c r="B10" s="38">
        <f t="shared" si="0"/>
        <v>2708.9377769448397</v>
      </c>
      <c r="C10" s="34"/>
      <c r="D10" s="38">
        <f>IF(ISERROR(TER_ander_gas_kWh/1000),0,TER_ander_gas_kWh/1000)*0.902</f>
        <v>4496.5280847261893</v>
      </c>
      <c r="E10" s="34">
        <f>$C$30*'E Balans VL '!I14/100/3.6*1000000</f>
        <v>22.161818405902345</v>
      </c>
      <c r="F10" s="34">
        <f>$C$30*('E Balans VL '!L14+'E Balans VL '!N14)/100/3.6*1000000</f>
        <v>791.98312055413544</v>
      </c>
      <c r="G10" s="35"/>
      <c r="H10" s="34"/>
      <c r="I10" s="34"/>
      <c r="J10" s="34">
        <f>$C$30*('E Balans VL '!D14+'E Balans VL '!E14)/100/3.6*1000000</f>
        <v>0</v>
      </c>
      <c r="K10" s="34"/>
      <c r="L10" s="34"/>
      <c r="M10" s="34"/>
      <c r="N10" s="34">
        <f>$C$30*'E Balans VL '!Y14/100/3.6*1000000</f>
        <v>1562.7016546279117</v>
      </c>
      <c r="O10" s="34"/>
      <c r="P10" s="34"/>
      <c r="R10" s="33"/>
    </row>
    <row r="11" spans="1:18">
      <c r="A11" s="33" t="s">
        <v>55</v>
      </c>
      <c r="B11" s="38">
        <f t="shared" si="0"/>
        <v>20.479431410512401</v>
      </c>
      <c r="C11" s="34"/>
      <c r="D11" s="38">
        <f>IF(ISERROR(TER_onderwijs_gas_kWh/1000),0,TER_onderwijs_gas_kWh/1000)*0.902</f>
        <v>0</v>
      </c>
      <c r="E11" s="34">
        <f>$C$31*'E Balans VL '!I11/100/3.6*1000000</f>
        <v>1.2622657408437925E-2</v>
      </c>
      <c r="F11" s="34">
        <f>$C$31*('E Balans VL '!L11+'E Balans VL '!N11)/100/3.6*1000000</f>
        <v>7.917679840923542</v>
      </c>
      <c r="G11" s="35"/>
      <c r="H11" s="34"/>
      <c r="I11" s="34"/>
      <c r="J11" s="34">
        <f>$C$31*('E Balans VL '!D11+'E Balans VL '!E11)/100/3.6*1000000</f>
        <v>0</v>
      </c>
      <c r="K11" s="34"/>
      <c r="L11" s="34"/>
      <c r="M11" s="34"/>
      <c r="N11" s="34">
        <f>$C$31*'E Balans VL '!Y11/100/3.6*1000000</f>
        <v>6.6615201729949544E-2</v>
      </c>
      <c r="O11" s="34"/>
      <c r="P11" s="34"/>
      <c r="R11" s="33"/>
    </row>
    <row r="12" spans="1:18">
      <c r="A12" s="33" t="s">
        <v>260</v>
      </c>
      <c r="B12" s="38">
        <f t="shared" si="0"/>
        <v>2579.7000963967203</v>
      </c>
      <c r="C12" s="34"/>
      <c r="D12" s="38">
        <f>IF(ISERROR(TER_rest_gas_kWh/1000),0,TER_rest_gas_kWh/1000)*0.902</f>
        <v>5235.307446202929</v>
      </c>
      <c r="E12" s="34">
        <f>$C$32*'E Balans VL '!I8/100/3.6*1000000</f>
        <v>22.289487715229612</v>
      </c>
      <c r="F12" s="34">
        <f>$C$32*('E Balans VL '!L8+'E Balans VL '!N8)/100/3.6*1000000</f>
        <v>513.84366618986178</v>
      </c>
      <c r="G12" s="35"/>
      <c r="H12" s="34"/>
      <c r="I12" s="34"/>
      <c r="J12" s="34">
        <f>$C$32*('E Balans VL '!D8+'E Balans VL '!E8)/100/3.6*1000000</f>
        <v>0</v>
      </c>
      <c r="K12" s="34"/>
      <c r="L12" s="34"/>
      <c r="M12" s="34"/>
      <c r="N12" s="34">
        <f>$C$32*'E Balans VL '!Y8/100/3.6*1000000</f>
        <v>169.67434581642968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15390.161480410439</v>
      </c>
      <c r="C16" s="22">
        <f t="shared" ca="1" si="1"/>
        <v>0</v>
      </c>
      <c r="D16" s="22">
        <f t="shared" ca="1" si="1"/>
        <v>29001.347705513352</v>
      </c>
      <c r="E16" s="22">
        <f t="shared" si="1"/>
        <v>155.29400258026197</v>
      </c>
      <c r="F16" s="22">
        <f t="shared" ca="1" si="1"/>
        <v>3101.6637907915438</v>
      </c>
      <c r="G16" s="22">
        <f t="shared" si="1"/>
        <v>0</v>
      </c>
      <c r="H16" s="22">
        <f t="shared" si="1"/>
        <v>0</v>
      </c>
      <c r="I16" s="22">
        <f t="shared" si="1"/>
        <v>0</v>
      </c>
      <c r="J16" s="22">
        <f t="shared" si="1"/>
        <v>0</v>
      </c>
      <c r="K16" s="22">
        <f t="shared" si="1"/>
        <v>0</v>
      </c>
      <c r="L16" s="22">
        <f t="shared" ca="1" si="1"/>
        <v>0</v>
      </c>
      <c r="M16" s="22">
        <f t="shared" si="1"/>
        <v>0</v>
      </c>
      <c r="N16" s="22">
        <f t="shared" ca="1" si="1"/>
        <v>1756.162845926571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0.21117265151984357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3249.9812071368337</v>
      </c>
      <c r="C20" s="24">
        <f t="shared" ref="C20:P20" ca="1" si="2">C16*C18</f>
        <v>0</v>
      </c>
      <c r="D20" s="24">
        <f t="shared" ca="1" si="2"/>
        <v>5858.2722365136979</v>
      </c>
      <c r="E20" s="24">
        <f t="shared" si="2"/>
        <v>35.251738585719472</v>
      </c>
      <c r="F20" s="24">
        <f t="shared" ca="1" si="2"/>
        <v>828.14423214134229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4209.6394282712299</v>
      </c>
      <c r="C26" s="40">
        <f>IF(ISERROR(B26*3.6/1000000/'E Balans VL '!Z12*100),0,B26*3.6/1000000/'E Balans VL '!Z12*100)</f>
        <v>8.9451818987646842E-2</v>
      </c>
      <c r="D26" s="240" t="s">
        <v>707</v>
      </c>
      <c r="F26" s="6"/>
    </row>
    <row r="27" spans="1:18">
      <c r="A27" s="234" t="s">
        <v>53</v>
      </c>
      <c r="B27" s="34">
        <f>IF(ISERROR(TER_horeca_ele_kWh/1000),0,TER_horeca_ele_kWh/1000)</f>
        <v>1591.45231764393</v>
      </c>
      <c r="C27" s="40">
        <f>IF(ISERROR(B27*3.6/1000000/'E Balans VL '!Z9*100),0,B27*3.6/1000000/'E Balans VL '!Z9*100)</f>
        <v>0.12525960404597991</v>
      </c>
      <c r="D27" s="240" t="s">
        <v>707</v>
      </c>
      <c r="F27" s="6"/>
    </row>
    <row r="28" spans="1:18">
      <c r="A28" s="174" t="s">
        <v>52</v>
      </c>
      <c r="B28" s="34">
        <f>IF(ISERROR(TER_handel_ele_kWh/1000),0,TER_handel_ele_kWh/1000)</f>
        <v>3890.4022900875002</v>
      </c>
      <c r="C28" s="40">
        <f>IF(ISERROR(B28*3.6/1000000/'E Balans VL '!Z13*100),0,B28*3.6/1000000/'E Balans VL '!Z13*100)</f>
        <v>0.10897225020645737</v>
      </c>
      <c r="D28" s="240" t="s">
        <v>707</v>
      </c>
      <c r="F28" s="6"/>
    </row>
    <row r="29" spans="1:18">
      <c r="A29" s="234" t="s">
        <v>51</v>
      </c>
      <c r="B29" s="34">
        <f>IF(ISERROR(TER_gezond_ele_kWh/1000),0,TER_gezond_ele_kWh/1000)</f>
        <v>389.55013965570697</v>
      </c>
      <c r="C29" s="40">
        <f>IF(ISERROR(B29*3.6/1000000/'E Balans VL '!Z10*100),0,B29*3.6/1000000/'E Balans VL '!Z10*100)</f>
        <v>4.9835242383775034E-2</v>
      </c>
      <c r="D29" s="240" t="s">
        <v>707</v>
      </c>
      <c r="F29" s="6"/>
    </row>
    <row r="30" spans="1:18">
      <c r="A30" s="234" t="s">
        <v>50</v>
      </c>
      <c r="B30" s="34">
        <f>IF(ISERROR(TER_ander_ele_kWh/1000),0,TER_ander_ele_kWh/1000)</f>
        <v>2708.9377769448397</v>
      </c>
      <c r="C30" s="40">
        <f>IF(ISERROR(B30*3.6/1000000/'E Balans VL '!Z14*100),0,B30*3.6/1000000/'E Balans VL '!Z14*100)</f>
        <v>0.20260571980702194</v>
      </c>
      <c r="D30" s="240" t="s">
        <v>707</v>
      </c>
      <c r="F30" s="6"/>
    </row>
    <row r="31" spans="1:18">
      <c r="A31" s="234" t="s">
        <v>55</v>
      </c>
      <c r="B31" s="34">
        <f>IF(ISERROR(TER_onderwijs_ele_kWh/1000),0,TER_onderwijs_ele_kWh/1000)</f>
        <v>20.479431410512401</v>
      </c>
      <c r="C31" s="40">
        <f>IF(ISERROR(B31*3.6/1000000/'E Balans VL '!Z11*100),0,B31*3.6/1000000/'E Balans VL '!Z11*100)</f>
        <v>4.3242584699740051E-3</v>
      </c>
      <c r="D31" s="240" t="s">
        <v>707</v>
      </c>
    </row>
    <row r="32" spans="1:18">
      <c r="A32" s="234" t="s">
        <v>260</v>
      </c>
      <c r="B32" s="34">
        <f>IF(ISERROR(TER_rest_ele_kWh/1000),0,TER_rest_ele_kWh/1000)</f>
        <v>2579.7000963967203</v>
      </c>
      <c r="C32" s="40">
        <f>IF(ISERROR(B32*3.6/1000000/'E Balans VL '!Z8*100),0,B32*3.6/1000000/'E Balans VL '!Z8*100)</f>
        <v>2.1251394143324338E-2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6366.3277243098892</v>
      </c>
      <c r="C5" s="18">
        <f>IF(ISERROR('Eigen informatie GS &amp; warmtenet'!B59),0,'Eigen informatie GS &amp; warmtenet'!B59)</f>
        <v>0</v>
      </c>
      <c r="D5" s="31">
        <f>SUM(D6:D15)</f>
        <v>4475.8674843251829</v>
      </c>
      <c r="E5" s="18">
        <f>SUM(E6:E15)</f>
        <v>53.164246960116301</v>
      </c>
      <c r="F5" s="18">
        <f>SUM(F6:F15)</f>
        <v>2006.4648499715986</v>
      </c>
      <c r="G5" s="19"/>
      <c r="H5" s="18"/>
      <c r="I5" s="18"/>
      <c r="J5" s="18">
        <f>SUM(J6:J15)</f>
        <v>28.164885614458449</v>
      </c>
      <c r="K5" s="18"/>
      <c r="L5" s="18"/>
      <c r="M5" s="18"/>
      <c r="N5" s="18">
        <f>SUM(N6:N15)</f>
        <v>244.14639144689633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294.44514545464102</v>
      </c>
      <c r="C8" s="34"/>
      <c r="D8" s="38">
        <f>IF( ISERROR(IND_metaal_Gas_kWH/1000),0,IND_metaal_Gas_kWH/1000)*0.902</f>
        <v>0</v>
      </c>
      <c r="E8" s="34">
        <f>C30*'E Balans VL '!I18/100/3.6*1000000</f>
        <v>2.6814588770025023</v>
      </c>
      <c r="F8" s="34">
        <f>C30*'E Balans VL '!L18/100/3.6*1000000+C30*'E Balans VL '!N18/100/3.6*1000000</f>
        <v>38.835078630627116</v>
      </c>
      <c r="G8" s="35"/>
      <c r="H8" s="34"/>
      <c r="I8" s="34"/>
      <c r="J8" s="41">
        <f>C30*'E Balans VL '!D18/100/3.6*1000000+C30*'E Balans VL '!E18/100/3.6*1000000</f>
        <v>4.8284728664994088</v>
      </c>
      <c r="K8" s="34"/>
      <c r="L8" s="34"/>
      <c r="M8" s="34"/>
      <c r="N8" s="34">
        <f>C30*'E Balans VL '!Y18/100/3.6*1000000</f>
        <v>1.0118909968936149</v>
      </c>
      <c r="O8" s="34"/>
      <c r="P8" s="34"/>
      <c r="R8" s="33"/>
    </row>
    <row r="9" spans="1:18">
      <c r="A9" s="6" t="s">
        <v>33</v>
      </c>
      <c r="B9" s="38">
        <f t="shared" si="0"/>
        <v>1310.42416906365</v>
      </c>
      <c r="C9" s="34"/>
      <c r="D9" s="38">
        <f>IF( ISERROR(IND_andere_gas_kWh/1000),0,IND_andere_gas_kWh/1000)*0.902</f>
        <v>434.36186311518475</v>
      </c>
      <c r="E9" s="34">
        <f>C31*'E Balans VL '!I19/100/3.6*1000000</f>
        <v>7.5744475238825544</v>
      </c>
      <c r="F9" s="34">
        <f>C31*'E Balans VL '!L19/100/3.6*1000000+C31*'E Balans VL '!N19/100/3.6*1000000</f>
        <v>1042.5054816059665</v>
      </c>
      <c r="G9" s="35"/>
      <c r="H9" s="34"/>
      <c r="I9" s="34"/>
      <c r="J9" s="41">
        <f>C31*'E Balans VL '!D19/100/3.6*1000000+C31*'E Balans VL '!E19/100/3.6*1000000</f>
        <v>0.12395157061402629</v>
      </c>
      <c r="K9" s="34"/>
      <c r="L9" s="34"/>
      <c r="M9" s="34"/>
      <c r="N9" s="34">
        <f>C31*'E Balans VL '!Y19/100/3.6*1000000</f>
        <v>99.284461858150379</v>
      </c>
      <c r="O9" s="34"/>
      <c r="P9" s="34"/>
      <c r="R9" s="33"/>
    </row>
    <row r="10" spans="1:18">
      <c r="A10" s="6" t="s">
        <v>41</v>
      </c>
      <c r="B10" s="38">
        <f t="shared" si="0"/>
        <v>145.64076844130898</v>
      </c>
      <c r="C10" s="34"/>
      <c r="D10" s="38">
        <f>IF( ISERROR(IND_voed_gas_kWh/1000),0,IND_voed_gas_kWh/1000)*0.902</f>
        <v>207.21125414604759</v>
      </c>
      <c r="E10" s="34">
        <f>C32*'E Balans VL '!I20/100/3.6*1000000</f>
        <v>1.4320297720659003</v>
      </c>
      <c r="F10" s="34">
        <f>C32*'E Balans VL '!L20/100/3.6*1000000+C32*'E Balans VL '!N20/100/3.6*1000000</f>
        <v>16.175308332566743</v>
      </c>
      <c r="G10" s="35"/>
      <c r="H10" s="34"/>
      <c r="I10" s="34"/>
      <c r="J10" s="41">
        <f>C32*'E Balans VL '!D20/100/3.6*1000000+C32*'E Balans VL '!E20/100/3.6*1000000</f>
        <v>5.7403638535766298E-4</v>
      </c>
      <c r="K10" s="34"/>
      <c r="L10" s="34"/>
      <c r="M10" s="34"/>
      <c r="N10" s="34">
        <f>C32*'E Balans VL '!Y20/100/3.6*1000000</f>
        <v>2.1565971974174962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4615.8176413502897</v>
      </c>
      <c r="C15" s="34"/>
      <c r="D15" s="38">
        <f>IF( ISERROR(IND_rest_gas_kWh/1000),0,IND_rest_gas_kWh/1000)*0.902</f>
        <v>3834.2943670639502</v>
      </c>
      <c r="E15" s="34">
        <f>C37*'E Balans VL '!I15/100/3.6*1000000</f>
        <v>41.476310787165346</v>
      </c>
      <c r="F15" s="34">
        <f>C37*'E Balans VL '!L15/100/3.6*1000000+C37*'E Balans VL '!N15/100/3.6*1000000</f>
        <v>908.94898140243811</v>
      </c>
      <c r="G15" s="35"/>
      <c r="H15" s="34"/>
      <c r="I15" s="34"/>
      <c r="J15" s="41">
        <f>C37*'E Balans VL '!D15/100/3.6*1000000+C37*'E Balans VL '!E15/100/3.6*1000000</f>
        <v>23.211887140959657</v>
      </c>
      <c r="K15" s="34"/>
      <c r="L15" s="34"/>
      <c r="M15" s="34"/>
      <c r="N15" s="34">
        <f>C37*'E Balans VL '!Y15/100/3.6*1000000</f>
        <v>141.69344139443484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6366.3277243098892</v>
      </c>
      <c r="C18" s="22">
        <f>C5+C16</f>
        <v>0</v>
      </c>
      <c r="D18" s="22">
        <f>MAX((D5+D16),0)</f>
        <v>4475.8674843251829</v>
      </c>
      <c r="E18" s="22">
        <f>MAX((E5+E16),0)</f>
        <v>53.164246960116301</v>
      </c>
      <c r="F18" s="22">
        <f>MAX((F5+F16),0)</f>
        <v>2006.4648499715986</v>
      </c>
      <c r="G18" s="22"/>
      <c r="H18" s="22"/>
      <c r="I18" s="22"/>
      <c r="J18" s="22">
        <f>MAX((J5+J16),0)</f>
        <v>28.164885614458449</v>
      </c>
      <c r="K18" s="22"/>
      <c r="L18" s="22">
        <f>MAX((L5+L16),0)</f>
        <v>0</v>
      </c>
      <c r="M18" s="22"/>
      <c r="N18" s="22">
        <f>MAX((N5+N16),0)</f>
        <v>244.14639144689633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0.21117265151984357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1344.3943059868111</v>
      </c>
      <c r="C22" s="24">
        <f ca="1">C18*C20</f>
        <v>0</v>
      </c>
      <c r="D22" s="24">
        <f>D18*D20</f>
        <v>904.12523183368705</v>
      </c>
      <c r="E22" s="24">
        <f>E18*E20</f>
        <v>12.0682840599464</v>
      </c>
      <c r="F22" s="24">
        <f>F18*F20</f>
        <v>535.72611494241687</v>
      </c>
      <c r="G22" s="24"/>
      <c r="H22" s="24"/>
      <c r="I22" s="24"/>
      <c r="J22" s="24">
        <f>J18*J20</f>
        <v>9.9703695075182903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294.44514545464102</v>
      </c>
      <c r="C30" s="40">
        <f>IF(ISERROR(B30*3.6/1000000/'E Balans VL '!Z18*100),0,B30*3.6/1000000/'E Balans VL '!Z18*100)</f>
        <v>1.6383903406756092E-2</v>
      </c>
      <c r="D30" s="240" t="s">
        <v>707</v>
      </c>
    </row>
    <row r="31" spans="1:18">
      <c r="A31" s="6" t="s">
        <v>33</v>
      </c>
      <c r="B31" s="38">
        <f>IF( ISERROR(IND_ander_ele_kWh/1000),0,IND_ander_ele_kWh/1000)</f>
        <v>1310.42416906365</v>
      </c>
      <c r="C31" s="40">
        <f>IF(ISERROR(B31*3.6/1000000/'E Balans VL '!Z19*100),0,B31*3.6/1000000/'E Balans VL '!Z19*100)</f>
        <v>6.0918178049214282E-2</v>
      </c>
      <c r="D31" s="240" t="s">
        <v>707</v>
      </c>
    </row>
    <row r="32" spans="1:18">
      <c r="A32" s="174" t="s">
        <v>41</v>
      </c>
      <c r="B32" s="38">
        <f>IF( ISERROR(IND_voed_ele_kWh/1000),0,IND_voed_ele_kWh/1000)</f>
        <v>145.64076844130898</v>
      </c>
      <c r="C32" s="40">
        <f>IF(ISERROR(B32*3.6/1000000/'E Balans VL '!Z20*100),0,B32*3.6/1000000/'E Balans VL '!Z20*100)</f>
        <v>5.1481070304117025E-3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4615.8176413502897</v>
      </c>
      <c r="C37" s="40">
        <f>IF(ISERROR(B37*3.6/1000000/'E Balans VL '!Z15*100),0,B37*3.6/1000000/'E Balans VL '!Z15*100)</f>
        <v>3.4856241785924398E-2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750.48032653655582</v>
      </c>
      <c r="C5" s="18">
        <f>'Eigen informatie GS &amp; warmtenet'!B60</f>
        <v>0</v>
      </c>
      <c r="D5" s="31">
        <f>IF(ISERROR(SUM(LB_lb_gas_kWh,LB_rest_gas_kWh,onbekend_gas_kWh)/1000),0,SUM(LB_lb_gas_kWh,LB_rest_gas_kWh,onbekend_gas_kWh)/1000)*0.902</f>
        <v>3106.9980983603828</v>
      </c>
      <c r="E5" s="18">
        <f>B17*'E Balans VL '!I25/3.6*1000000/100</f>
        <v>7.0700275142877889</v>
      </c>
      <c r="F5" s="18">
        <f>B17*('E Balans VL '!L25/3.6*1000000+'E Balans VL '!N25/3.6*1000000)/100</f>
        <v>2449.0663680356733</v>
      </c>
      <c r="G5" s="19"/>
      <c r="H5" s="18"/>
      <c r="I5" s="18"/>
      <c r="J5" s="18">
        <f>('E Balans VL '!D25+'E Balans VL '!E25)/3.6*1000000*landbouw!B17/100</f>
        <v>92.838066728179015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750.48032653655582</v>
      </c>
      <c r="C8" s="22">
        <f>C5+C6</f>
        <v>0</v>
      </c>
      <c r="D8" s="22">
        <f>MAX((D5+D6),0)</f>
        <v>3106.9980983603828</v>
      </c>
      <c r="E8" s="22">
        <f>MAX((E5+E6),0)</f>
        <v>7.0700275142877889</v>
      </c>
      <c r="F8" s="22">
        <f>MAX((F5+F6),0)</f>
        <v>2449.0663680356733</v>
      </c>
      <c r="G8" s="22"/>
      <c r="H8" s="22"/>
      <c r="I8" s="22"/>
      <c r="J8" s="22">
        <f>MAX((J5+J6),0)</f>
        <v>92.838066728179015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0.21117265151984357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158.48092046820253</v>
      </c>
      <c r="C12" s="24">
        <f ca="1">C8*C10</f>
        <v>0</v>
      </c>
      <c r="D12" s="24">
        <f>D8*D10</f>
        <v>627.61361586879741</v>
      </c>
      <c r="E12" s="24">
        <f>E8*E10</f>
        <v>1.6048962457433282</v>
      </c>
      <c r="F12" s="24">
        <f>F8*F10</f>
        <v>653.9007202655248</v>
      </c>
      <c r="G12" s="24"/>
      <c r="H12" s="24"/>
      <c r="I12" s="24"/>
      <c r="J12" s="24">
        <f>J8*J10</f>
        <v>32.864675621775369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0.10160304392078884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148.08304379773338</v>
      </c>
      <c r="C26" s="250">
        <f>B26*'GWP N2O_CH4'!B5</f>
        <v>3109.7439197524009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19.283201962158586</v>
      </c>
      <c r="C27" s="250">
        <f>B27*'GWP N2O_CH4'!B5</f>
        <v>404.94724120533033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2.0242797757155886</v>
      </c>
      <c r="C28" s="250">
        <f>B28*'GWP N2O_CH4'!B4</f>
        <v>627.52673047183248</v>
      </c>
      <c r="D28" s="51"/>
    </row>
    <row r="29" spans="1:4">
      <c r="A29" s="42" t="s">
        <v>277</v>
      </c>
      <c r="B29" s="250">
        <f>B34*'ha_N2O bodem landbouw'!B4</f>
        <v>9.6849806838706609</v>
      </c>
      <c r="C29" s="250">
        <f>B29*'GWP N2O_CH4'!B4</f>
        <v>3002.344011999905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2.6146398988688259E-3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2.1047524245749751E-5</v>
      </c>
      <c r="C5" s="447" t="s">
        <v>211</v>
      </c>
      <c r="D5" s="432">
        <f>SUM(D6:D11)</f>
        <v>5.8197455079307407E-5</v>
      </c>
      <c r="E5" s="432">
        <f>SUM(E6:E11)</f>
        <v>3.8114258453712259E-3</v>
      </c>
      <c r="F5" s="445" t="s">
        <v>211</v>
      </c>
      <c r="G5" s="432">
        <f>SUM(G6:G11)</f>
        <v>0.73290515726984584</v>
      </c>
      <c r="H5" s="432">
        <f>SUM(H6:H11)</f>
        <v>0.13315392496125844</v>
      </c>
      <c r="I5" s="447" t="s">
        <v>211</v>
      </c>
      <c r="J5" s="447" t="s">
        <v>211</v>
      </c>
      <c r="K5" s="447" t="s">
        <v>211</v>
      </c>
      <c r="L5" s="447" t="s">
        <v>211</v>
      </c>
      <c r="M5" s="432">
        <f>SUM(M6:M11)</f>
        <v>3.8727379162341265E-2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6.7144209377957617E-6</v>
      </c>
      <c r="C6" s="433"/>
      <c r="D6" s="433">
        <f>vkm_2011_GW_PW*SUMIFS(TableVerdeelsleutelVkm[CNG],TableVerdeelsleutelVkm[Voertuigtype],"Lichte voertuigen")*SUMIFS(TableECFTransport[EnergieConsumptieFactor (PJ per km)],TableECFTransport[Index],CONCATENATE($A6,"_CNG_CNG"))</f>
        <v>1.6396728377219433E-5</v>
      </c>
      <c r="E6" s="435">
        <f>vkm_2011_GW_PW*SUMIFS(TableVerdeelsleutelVkm[LPG],TableVerdeelsleutelVkm[Voertuigtype],"Lichte voertuigen")*SUMIFS(TableECFTransport[EnergieConsumptieFactor (PJ per km)],TableECFTransport[Index],CONCATENATE($A6,"_LPG_LPG"))</f>
        <v>9.7191332218809687E-4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0.1405015038017057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3.6821407612995412E-2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7.9408465333209357E-3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3.4369605486769567E-2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1.3866795855622639E-5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1.5311552905541048E-3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3.0076262476899471E-6</v>
      </c>
      <c r="C8" s="433"/>
      <c r="D8" s="435">
        <f>vkm_2011_NGW_PW*SUMIFS(TableVerdeelsleutelVkm[CNG],TableVerdeelsleutelVkm[Voertuigtype],"Lichte voertuigen")*SUMIFS(TableECFTransport[EnergieConsumptieFactor (PJ per km)],TableECFTransport[Index],CONCATENATE($A8,"_CNG_CNG"))</f>
        <v>1.3177592424712851E-5</v>
      </c>
      <c r="E8" s="435">
        <f>vkm_2011_NGW_PW*SUMIFS(TableVerdeelsleutelVkm[LPG],TableVerdeelsleutelVkm[Voertuigtype],"Lichte voertuigen")*SUMIFS(TableECFTransport[EnergieConsumptieFactor (PJ per km)],TableECFTransport[Index],CONCATENATE($A8,"_LPG_LPG"))</f>
        <v>7.1658053474785198E-4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9.7860052522117422E-2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2.8337537316795076E-2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5.6539339564875921E-3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1.6948991992396956E-2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5.9540406854889398E-6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7.5503190689471078E-4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1.1325477060264042E-5</v>
      </c>
      <c r="C10" s="433"/>
      <c r="D10" s="435">
        <f>vkm_2011_SW_PW*SUMIFS(TableVerdeelsleutelVkm[CNG],TableVerdeelsleutelVkm[Voertuigtype],"Lichte voertuigen")*SUMIFS(TableECFTransport[EnergieConsumptieFactor (PJ per km)],TableECFTransport[Index],CONCATENATE($A10,"_CNG_CNG"))</f>
        <v>2.8623134277375118E-5</v>
      </c>
      <c r="E10" s="435">
        <f>vkm_2011_SW_PW*SUMIFS(TableVerdeelsleutelVkm[LPG],TableVerdeelsleutelVkm[Voertuigtype],"Lichte voertuigen")*SUMIFS(TableECFTransport[EnergieConsumptieFactor (PJ per km)],TableECFTransport[Index],CONCATENATE($A10,"_LPG_LPG"))</f>
        <v>2.122931988435277E-3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0.27968441584683718</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6.79051554183141E-2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1.55605449588345E-2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0.16354058762001897</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7.0003776612762245E-5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7.2858665162494176E-3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5.8465345127082644</v>
      </c>
      <c r="C14" s="22"/>
      <c r="D14" s="22">
        <f t="shared" ref="D14:M14" si="0">((D5)*10^9/3600)+D12</f>
        <v>16.165959744252056</v>
      </c>
      <c r="E14" s="22">
        <f t="shared" si="0"/>
        <v>1058.7294014920071</v>
      </c>
      <c r="F14" s="22"/>
      <c r="G14" s="22">
        <f t="shared" si="0"/>
        <v>203584.76590829052</v>
      </c>
      <c r="H14" s="22">
        <f t="shared" si="0"/>
        <v>36987.201378127342</v>
      </c>
      <c r="I14" s="22"/>
      <c r="J14" s="22"/>
      <c r="K14" s="22"/>
      <c r="L14" s="22"/>
      <c r="M14" s="22">
        <f t="shared" si="0"/>
        <v>10757.605322872574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0.21117265151984357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1.2346281952508809</v>
      </c>
      <c r="C18" s="24"/>
      <c r="D18" s="24">
        <f t="shared" ref="D18:M18" si="1">D14*D16</f>
        <v>3.2655238683389154</v>
      </c>
      <c r="E18" s="24">
        <f t="shared" si="1"/>
        <v>240.33157413868562</v>
      </c>
      <c r="F18" s="24"/>
      <c r="G18" s="24">
        <f t="shared" si="1"/>
        <v>54357.132497513572</v>
      </c>
      <c r="H18" s="24">
        <f t="shared" si="1"/>
        <v>9209.8131431537076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1.7555923970387768E-2</v>
      </c>
      <c r="H50" s="323">
        <f t="shared" si="2"/>
        <v>0</v>
      </c>
      <c r="I50" s="323">
        <f t="shared" si="2"/>
        <v>0</v>
      </c>
      <c r="J50" s="323">
        <f t="shared" si="2"/>
        <v>0</v>
      </c>
      <c r="K50" s="323">
        <f t="shared" si="2"/>
        <v>0</v>
      </c>
      <c r="L50" s="323">
        <f t="shared" si="2"/>
        <v>0</v>
      </c>
      <c r="M50" s="323">
        <f t="shared" si="2"/>
        <v>7.7090958184781501E-4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1.7555923970387768E-2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7.7090958184781501E-4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4876.6455473299357</v>
      </c>
      <c r="H54" s="22">
        <f t="shared" si="3"/>
        <v>0</v>
      </c>
      <c r="I54" s="22">
        <f t="shared" si="3"/>
        <v>0</v>
      </c>
      <c r="J54" s="22">
        <f t="shared" si="3"/>
        <v>0</v>
      </c>
      <c r="K54" s="22">
        <f t="shared" si="3"/>
        <v>0</v>
      </c>
      <c r="L54" s="22">
        <f t="shared" si="3"/>
        <v>0</v>
      </c>
      <c r="M54" s="22">
        <f t="shared" si="3"/>
        <v>214.14155051328194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0.21117265151984357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1302.0643611370929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2757.2623301744457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2757.2623301744457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17641.427480410439</v>
      </c>
      <c r="D10" s="703">
        <f ca="1">tertiair!C16</f>
        <v>0</v>
      </c>
      <c r="E10" s="703">
        <f ca="1">tertiair!D16</f>
        <v>29001.347705513352</v>
      </c>
      <c r="F10" s="703">
        <f>tertiair!E16</f>
        <v>155.29400258026197</v>
      </c>
      <c r="G10" s="703">
        <f ca="1">tertiair!F16</f>
        <v>3101.6637907915438</v>
      </c>
      <c r="H10" s="703">
        <f>tertiair!G16</f>
        <v>0</v>
      </c>
      <c r="I10" s="703">
        <f>tertiair!H16</f>
        <v>0</v>
      </c>
      <c r="J10" s="703">
        <f>tertiair!I16</f>
        <v>0</v>
      </c>
      <c r="K10" s="703">
        <f>tertiair!J16</f>
        <v>0</v>
      </c>
      <c r="L10" s="703">
        <f>tertiair!K16</f>
        <v>0</v>
      </c>
      <c r="M10" s="703">
        <f ca="1">tertiair!L16</f>
        <v>0</v>
      </c>
      <c r="N10" s="703">
        <f>tertiair!M16</f>
        <v>0</v>
      </c>
      <c r="O10" s="703">
        <f ca="1">tertiair!N16</f>
        <v>1756.162845926571</v>
      </c>
      <c r="P10" s="703">
        <f>tertiair!O16</f>
        <v>0</v>
      </c>
      <c r="Q10" s="704">
        <f>tertiair!P16</f>
        <v>0</v>
      </c>
      <c r="R10" s="706">
        <f ca="1">SUM(C10:Q10)</f>
        <v>51655.895825222164</v>
      </c>
      <c r="S10" s="68"/>
    </row>
    <row r="11" spans="1:19" s="458" customFormat="1">
      <c r="A11" s="859" t="s">
        <v>225</v>
      </c>
      <c r="B11" s="864"/>
      <c r="C11" s="703">
        <f>huishoudens!B8</f>
        <v>37241.959156740784</v>
      </c>
      <c r="D11" s="703">
        <f>huishoudens!C8</f>
        <v>0</v>
      </c>
      <c r="E11" s="703">
        <f>huishoudens!D8</f>
        <v>85383.182986467349</v>
      </c>
      <c r="F11" s="703">
        <f>huishoudens!E8</f>
        <v>1599.0564729156615</v>
      </c>
      <c r="G11" s="703">
        <f>huishoudens!F8</f>
        <v>31216.65301563208</v>
      </c>
      <c r="H11" s="703">
        <f>huishoudens!G8</f>
        <v>0</v>
      </c>
      <c r="I11" s="703">
        <f>huishoudens!H8</f>
        <v>0</v>
      </c>
      <c r="J11" s="703">
        <f>huishoudens!I8</f>
        <v>0</v>
      </c>
      <c r="K11" s="703">
        <f>huishoudens!J8</f>
        <v>0</v>
      </c>
      <c r="L11" s="703">
        <f>huishoudens!K8</f>
        <v>0</v>
      </c>
      <c r="M11" s="703">
        <f>huishoudens!L8</f>
        <v>0</v>
      </c>
      <c r="N11" s="703">
        <f>huishoudens!M8</f>
        <v>0</v>
      </c>
      <c r="O11" s="703">
        <f>huishoudens!N8</f>
        <v>5952.9555186598154</v>
      </c>
      <c r="P11" s="703">
        <f>huishoudens!O8</f>
        <v>101.61666666666667</v>
      </c>
      <c r="Q11" s="704">
        <f>huishoudens!P8</f>
        <v>381.33333333333337</v>
      </c>
      <c r="R11" s="706">
        <f>SUM(C11:Q11)</f>
        <v>161876.75715041571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6366.3277243098892</v>
      </c>
      <c r="D13" s="703">
        <f>industrie!C18</f>
        <v>0</v>
      </c>
      <c r="E13" s="703">
        <f>industrie!D18</f>
        <v>4475.8674843251829</v>
      </c>
      <c r="F13" s="703">
        <f>industrie!E18</f>
        <v>53.164246960116301</v>
      </c>
      <c r="G13" s="703">
        <f>industrie!F18</f>
        <v>2006.4648499715986</v>
      </c>
      <c r="H13" s="703">
        <f>industrie!G18</f>
        <v>0</v>
      </c>
      <c r="I13" s="703">
        <f>industrie!H18</f>
        <v>0</v>
      </c>
      <c r="J13" s="703">
        <f>industrie!I18</f>
        <v>0</v>
      </c>
      <c r="K13" s="703">
        <f>industrie!J18</f>
        <v>28.164885614458449</v>
      </c>
      <c r="L13" s="703">
        <f>industrie!K18</f>
        <v>0</v>
      </c>
      <c r="M13" s="703">
        <f>industrie!L18</f>
        <v>0</v>
      </c>
      <c r="N13" s="703">
        <f>industrie!M18</f>
        <v>0</v>
      </c>
      <c r="O13" s="703">
        <f>industrie!N18</f>
        <v>244.14639144689633</v>
      </c>
      <c r="P13" s="703">
        <f>industrie!O18</f>
        <v>0</v>
      </c>
      <c r="Q13" s="704">
        <f>industrie!P18</f>
        <v>0</v>
      </c>
      <c r="R13" s="706">
        <f>SUM(C13:Q13)</f>
        <v>13174.135582628141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61249.714361461112</v>
      </c>
      <c r="D15" s="708">
        <f t="shared" ref="D15:Q15" ca="1" si="0">SUM(D9:D14)</f>
        <v>0</v>
      </c>
      <c r="E15" s="708">
        <f t="shared" ca="1" si="0"/>
        <v>118860.39817630588</v>
      </c>
      <c r="F15" s="708">
        <f t="shared" si="0"/>
        <v>1807.5147224560399</v>
      </c>
      <c r="G15" s="708">
        <f t="shared" ca="1" si="0"/>
        <v>36324.781656395222</v>
      </c>
      <c r="H15" s="708">
        <f t="shared" si="0"/>
        <v>0</v>
      </c>
      <c r="I15" s="708">
        <f t="shared" si="0"/>
        <v>0</v>
      </c>
      <c r="J15" s="708">
        <f t="shared" si="0"/>
        <v>0</v>
      </c>
      <c r="K15" s="708">
        <f t="shared" si="0"/>
        <v>28.164885614458449</v>
      </c>
      <c r="L15" s="708">
        <f t="shared" si="0"/>
        <v>0</v>
      </c>
      <c r="M15" s="708">
        <f t="shared" ca="1" si="0"/>
        <v>0</v>
      </c>
      <c r="N15" s="708">
        <f t="shared" si="0"/>
        <v>0</v>
      </c>
      <c r="O15" s="708">
        <f t="shared" ca="1" si="0"/>
        <v>7953.2647560332825</v>
      </c>
      <c r="P15" s="708">
        <f t="shared" si="0"/>
        <v>101.61666666666667</v>
      </c>
      <c r="Q15" s="709">
        <f t="shared" si="0"/>
        <v>381.33333333333337</v>
      </c>
      <c r="R15" s="710">
        <f ca="1">SUM(R9:R14)</f>
        <v>226706.78855826601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4876.6455473299357</v>
      </c>
      <c r="I18" s="703">
        <f>transport!H54</f>
        <v>0</v>
      </c>
      <c r="J18" s="703">
        <f>transport!I54</f>
        <v>0</v>
      </c>
      <c r="K18" s="703">
        <f>transport!J54</f>
        <v>0</v>
      </c>
      <c r="L18" s="703">
        <f>transport!K54</f>
        <v>0</v>
      </c>
      <c r="M18" s="703">
        <f>transport!L54</f>
        <v>0</v>
      </c>
      <c r="N18" s="703">
        <f>transport!M54</f>
        <v>214.14155051328194</v>
      </c>
      <c r="O18" s="703">
        <f>transport!N54</f>
        <v>0</v>
      </c>
      <c r="P18" s="703">
        <f>transport!O54</f>
        <v>0</v>
      </c>
      <c r="Q18" s="704">
        <f>transport!P54</f>
        <v>0</v>
      </c>
      <c r="R18" s="706">
        <f>SUM(C18:Q18)</f>
        <v>5090.7870978432175</v>
      </c>
      <c r="S18" s="68"/>
    </row>
    <row r="19" spans="1:19" s="458" customFormat="1" ht="15" thickBot="1">
      <c r="A19" s="859" t="s">
        <v>307</v>
      </c>
      <c r="B19" s="864"/>
      <c r="C19" s="712">
        <f>transport!B14</f>
        <v>5.8465345127082644</v>
      </c>
      <c r="D19" s="712">
        <f>transport!C14</f>
        <v>0</v>
      </c>
      <c r="E19" s="712">
        <f>transport!D14</f>
        <v>16.165959744252056</v>
      </c>
      <c r="F19" s="712">
        <f>transport!E14</f>
        <v>1058.7294014920071</v>
      </c>
      <c r="G19" s="712">
        <f>transport!F14</f>
        <v>0</v>
      </c>
      <c r="H19" s="712">
        <f>transport!G14</f>
        <v>203584.76590829052</v>
      </c>
      <c r="I19" s="712">
        <f>transport!H14</f>
        <v>36987.201378127342</v>
      </c>
      <c r="J19" s="712">
        <f>transport!I14</f>
        <v>0</v>
      </c>
      <c r="K19" s="712">
        <f>transport!J14</f>
        <v>0</v>
      </c>
      <c r="L19" s="712">
        <f>transport!K14</f>
        <v>0</v>
      </c>
      <c r="M19" s="712">
        <f>transport!L14</f>
        <v>0</v>
      </c>
      <c r="N19" s="712">
        <f>transport!M14</f>
        <v>10757.605322872574</v>
      </c>
      <c r="O19" s="712">
        <f>transport!N14</f>
        <v>0</v>
      </c>
      <c r="P19" s="712">
        <f>transport!O14</f>
        <v>0</v>
      </c>
      <c r="Q19" s="713">
        <f>transport!P14</f>
        <v>0</v>
      </c>
      <c r="R19" s="714">
        <f>SUM(C19:Q19)</f>
        <v>252410.31450503942</v>
      </c>
      <c r="S19" s="68"/>
    </row>
    <row r="20" spans="1:19" s="458" customFormat="1" ht="15.75" thickBot="1">
      <c r="A20" s="715" t="s">
        <v>230</v>
      </c>
      <c r="B20" s="867"/>
      <c r="C20" s="862">
        <f>SUM(C17:C19)</f>
        <v>5.8465345127082644</v>
      </c>
      <c r="D20" s="716">
        <f t="shared" ref="D20:R20" si="1">SUM(D17:D19)</f>
        <v>0</v>
      </c>
      <c r="E20" s="716">
        <f t="shared" si="1"/>
        <v>16.165959744252056</v>
      </c>
      <c r="F20" s="716">
        <f t="shared" si="1"/>
        <v>1058.7294014920071</v>
      </c>
      <c r="G20" s="716">
        <f t="shared" si="1"/>
        <v>0</v>
      </c>
      <c r="H20" s="716">
        <f t="shared" si="1"/>
        <v>208461.41145562046</v>
      </c>
      <c r="I20" s="716">
        <f t="shared" si="1"/>
        <v>36987.201378127342</v>
      </c>
      <c r="J20" s="716">
        <f t="shared" si="1"/>
        <v>0</v>
      </c>
      <c r="K20" s="716">
        <f t="shared" si="1"/>
        <v>0</v>
      </c>
      <c r="L20" s="716">
        <f t="shared" si="1"/>
        <v>0</v>
      </c>
      <c r="M20" s="716">
        <f t="shared" si="1"/>
        <v>0</v>
      </c>
      <c r="N20" s="716">
        <f t="shared" si="1"/>
        <v>10971.746873385857</v>
      </c>
      <c r="O20" s="716">
        <f t="shared" si="1"/>
        <v>0</v>
      </c>
      <c r="P20" s="716">
        <f t="shared" si="1"/>
        <v>0</v>
      </c>
      <c r="Q20" s="717">
        <f t="shared" si="1"/>
        <v>0</v>
      </c>
      <c r="R20" s="718">
        <f t="shared" si="1"/>
        <v>257501.10160288264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750.48032653655582</v>
      </c>
      <c r="D22" s="712">
        <f>+landbouw!C8</f>
        <v>0</v>
      </c>
      <c r="E22" s="712">
        <f>+landbouw!D8</f>
        <v>3106.9980983603828</v>
      </c>
      <c r="F22" s="712">
        <f>+landbouw!E8</f>
        <v>7.0700275142877889</v>
      </c>
      <c r="G22" s="712">
        <f>+landbouw!F8</f>
        <v>2449.0663680356733</v>
      </c>
      <c r="H22" s="712">
        <f>+landbouw!G8</f>
        <v>0</v>
      </c>
      <c r="I22" s="712">
        <f>+landbouw!H8</f>
        <v>0</v>
      </c>
      <c r="J22" s="712">
        <f>+landbouw!I8</f>
        <v>0</v>
      </c>
      <c r="K22" s="712">
        <f>+landbouw!J8</f>
        <v>92.838066728179015</v>
      </c>
      <c r="L22" s="712">
        <f>+landbouw!K8</f>
        <v>0</v>
      </c>
      <c r="M22" s="712">
        <f>+landbouw!L8</f>
        <v>0</v>
      </c>
      <c r="N22" s="712">
        <f>+landbouw!M8</f>
        <v>0</v>
      </c>
      <c r="O22" s="712">
        <f>+landbouw!N8</f>
        <v>0</v>
      </c>
      <c r="P22" s="712">
        <f>+landbouw!O8</f>
        <v>0</v>
      </c>
      <c r="Q22" s="713">
        <f>+landbouw!P8</f>
        <v>0</v>
      </c>
      <c r="R22" s="714">
        <f>SUM(C22:Q22)</f>
        <v>6406.4528871750781</v>
      </c>
      <c r="S22" s="68"/>
    </row>
    <row r="23" spans="1:19" s="458" customFormat="1" ht="17.25" thickTop="1" thickBot="1">
      <c r="A23" s="719" t="s">
        <v>116</v>
      </c>
      <c r="B23" s="853"/>
      <c r="C23" s="720">
        <f ca="1">C20+C15+C22</f>
        <v>62006.041222510379</v>
      </c>
      <c r="D23" s="720">
        <f t="shared" ref="D23:Q23" ca="1" si="2">D20+D15+D22</f>
        <v>0</v>
      </c>
      <c r="E23" s="720">
        <f t="shared" ca="1" si="2"/>
        <v>121983.56223441052</v>
      </c>
      <c r="F23" s="720">
        <f t="shared" si="2"/>
        <v>2873.3141514623344</v>
      </c>
      <c r="G23" s="720">
        <f t="shared" ca="1" si="2"/>
        <v>38773.848024430896</v>
      </c>
      <c r="H23" s="720">
        <f t="shared" si="2"/>
        <v>208461.41145562046</v>
      </c>
      <c r="I23" s="720">
        <f t="shared" si="2"/>
        <v>36987.201378127342</v>
      </c>
      <c r="J23" s="720">
        <f t="shared" si="2"/>
        <v>0</v>
      </c>
      <c r="K23" s="720">
        <f t="shared" si="2"/>
        <v>121.00295234263746</v>
      </c>
      <c r="L23" s="720">
        <f t="shared" si="2"/>
        <v>0</v>
      </c>
      <c r="M23" s="720">
        <f t="shared" ca="1" si="2"/>
        <v>0</v>
      </c>
      <c r="N23" s="720">
        <f t="shared" si="2"/>
        <v>10971.746873385857</v>
      </c>
      <c r="O23" s="720">
        <f t="shared" ca="1" si="2"/>
        <v>7953.2647560332825</v>
      </c>
      <c r="P23" s="720">
        <f t="shared" si="2"/>
        <v>101.61666666666667</v>
      </c>
      <c r="Q23" s="721">
        <f t="shared" si="2"/>
        <v>381.33333333333337</v>
      </c>
      <c r="R23" s="722">
        <f ca="1">R20+R15+R22</f>
        <v>490614.3430483237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3725.3870176333057</v>
      </c>
      <c r="D36" s="703">
        <f ca="1">tertiair!C20</f>
        <v>0</v>
      </c>
      <c r="E36" s="703">
        <f ca="1">tertiair!D20</f>
        <v>5858.2722365136979</v>
      </c>
      <c r="F36" s="703">
        <f>tertiair!E20</f>
        <v>35.251738585719472</v>
      </c>
      <c r="G36" s="703">
        <f ca="1">tertiair!F20</f>
        <v>828.14423214134229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10447.055224874064</v>
      </c>
    </row>
    <row r="37" spans="1:18">
      <c r="A37" s="874" t="s">
        <v>225</v>
      </c>
      <c r="B37" s="881"/>
      <c r="C37" s="703">
        <f ca="1">huishoudens!B12</f>
        <v>7864.4832629226694</v>
      </c>
      <c r="D37" s="703">
        <f ca="1">huishoudens!C12</f>
        <v>0</v>
      </c>
      <c r="E37" s="703">
        <f>huishoudens!D12</f>
        <v>17247.402963266406</v>
      </c>
      <c r="F37" s="703">
        <f>huishoudens!E12</f>
        <v>362.98581935185518</v>
      </c>
      <c r="G37" s="703">
        <f>huishoudens!F12</f>
        <v>8334.8463551737659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33809.718400714701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1344.3943059868111</v>
      </c>
      <c r="D39" s="703">
        <f ca="1">industrie!C22</f>
        <v>0</v>
      </c>
      <c r="E39" s="703">
        <f>industrie!D22</f>
        <v>904.12523183368705</v>
      </c>
      <c r="F39" s="703">
        <f>industrie!E22</f>
        <v>12.0682840599464</v>
      </c>
      <c r="G39" s="703">
        <f>industrie!F22</f>
        <v>535.72611494241687</v>
      </c>
      <c r="H39" s="703">
        <f>industrie!G22</f>
        <v>0</v>
      </c>
      <c r="I39" s="703">
        <f>industrie!H22</f>
        <v>0</v>
      </c>
      <c r="J39" s="703">
        <f>industrie!I22</f>
        <v>0</v>
      </c>
      <c r="K39" s="703">
        <f>industrie!J22</f>
        <v>9.9703695075182903</v>
      </c>
      <c r="L39" s="703">
        <f>industrie!K22</f>
        <v>0</v>
      </c>
      <c r="M39" s="703">
        <f>industrie!L22</f>
        <v>0</v>
      </c>
      <c r="N39" s="703">
        <f>industrie!M22</f>
        <v>0</v>
      </c>
      <c r="O39" s="703">
        <f>industrie!N22</f>
        <v>0</v>
      </c>
      <c r="P39" s="703">
        <f>industrie!O22</f>
        <v>0</v>
      </c>
      <c r="Q39" s="813">
        <f>industrie!P22</f>
        <v>0</v>
      </c>
      <c r="R39" s="907">
        <f ca="1">SUM(C39:Q39)</f>
        <v>2806.2843063303794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12934.264586542786</v>
      </c>
      <c r="D41" s="748">
        <f t="shared" ref="D41:R41" ca="1" si="4">SUM(D35:D40)</f>
        <v>0</v>
      </c>
      <c r="E41" s="748">
        <f t="shared" ca="1" si="4"/>
        <v>24009.800431613792</v>
      </c>
      <c r="F41" s="748">
        <f t="shared" si="4"/>
        <v>410.30584199752104</v>
      </c>
      <c r="G41" s="748">
        <f t="shared" ca="1" si="4"/>
        <v>9698.716702257525</v>
      </c>
      <c r="H41" s="748">
        <f t="shared" si="4"/>
        <v>0</v>
      </c>
      <c r="I41" s="748">
        <f t="shared" si="4"/>
        <v>0</v>
      </c>
      <c r="J41" s="748">
        <f t="shared" si="4"/>
        <v>0</v>
      </c>
      <c r="K41" s="748">
        <f t="shared" si="4"/>
        <v>9.9703695075182903</v>
      </c>
      <c r="L41" s="748">
        <f t="shared" si="4"/>
        <v>0</v>
      </c>
      <c r="M41" s="748">
        <f t="shared" ca="1" si="4"/>
        <v>0</v>
      </c>
      <c r="N41" s="748">
        <f t="shared" si="4"/>
        <v>0</v>
      </c>
      <c r="O41" s="748">
        <f t="shared" ca="1" si="4"/>
        <v>0</v>
      </c>
      <c r="P41" s="748">
        <f t="shared" si="4"/>
        <v>0</v>
      </c>
      <c r="Q41" s="749">
        <f t="shared" si="4"/>
        <v>0</v>
      </c>
      <c r="R41" s="750">
        <f t="shared" ca="1" si="4"/>
        <v>47063.057931919146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1302.0643611370929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1302.0643611370929</v>
      </c>
    </row>
    <row r="45" spans="1:18" ht="15" thickBot="1">
      <c r="A45" s="877" t="s">
        <v>307</v>
      </c>
      <c r="B45" s="887"/>
      <c r="C45" s="712">
        <f ca="1">transport!B18</f>
        <v>1.2346281952508809</v>
      </c>
      <c r="D45" s="712">
        <f>transport!C18</f>
        <v>0</v>
      </c>
      <c r="E45" s="712">
        <f>transport!D18</f>
        <v>3.2655238683389154</v>
      </c>
      <c r="F45" s="712">
        <f>transport!E18</f>
        <v>240.33157413868562</v>
      </c>
      <c r="G45" s="712">
        <f>transport!F18</f>
        <v>0</v>
      </c>
      <c r="H45" s="712">
        <f>transport!G18</f>
        <v>54357.132497513572</v>
      </c>
      <c r="I45" s="712">
        <f>transport!H18</f>
        <v>9209.8131431537076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63811.777366869559</v>
      </c>
    </row>
    <row r="46" spans="1:18" ht="15.75" thickBot="1">
      <c r="A46" s="875" t="s">
        <v>230</v>
      </c>
      <c r="B46" s="888"/>
      <c r="C46" s="748">
        <f t="shared" ref="C46:R46" ca="1" si="5">SUM(C43:C45)</f>
        <v>1.2346281952508809</v>
      </c>
      <c r="D46" s="748">
        <f t="shared" ca="1" si="5"/>
        <v>0</v>
      </c>
      <c r="E46" s="748">
        <f t="shared" si="5"/>
        <v>3.2655238683389154</v>
      </c>
      <c r="F46" s="748">
        <f t="shared" si="5"/>
        <v>240.33157413868562</v>
      </c>
      <c r="G46" s="748">
        <f t="shared" si="5"/>
        <v>0</v>
      </c>
      <c r="H46" s="748">
        <f t="shared" si="5"/>
        <v>55659.196858650663</v>
      </c>
      <c r="I46" s="748">
        <f t="shared" si="5"/>
        <v>9209.8131431537076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65113.84172800665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158.48092046820253</v>
      </c>
      <c r="D48" s="703">
        <f ca="1">+landbouw!C12</f>
        <v>0</v>
      </c>
      <c r="E48" s="703">
        <f>+landbouw!D12</f>
        <v>627.61361586879741</v>
      </c>
      <c r="F48" s="703">
        <f>+landbouw!E12</f>
        <v>1.6048962457433282</v>
      </c>
      <c r="G48" s="703">
        <f>+landbouw!F12</f>
        <v>653.9007202655248</v>
      </c>
      <c r="H48" s="703">
        <f>+landbouw!G12</f>
        <v>0</v>
      </c>
      <c r="I48" s="703">
        <f>+landbouw!H12</f>
        <v>0</v>
      </c>
      <c r="J48" s="703">
        <f>+landbouw!I12</f>
        <v>0</v>
      </c>
      <c r="K48" s="703">
        <f>+landbouw!J12</f>
        <v>32.864675621775369</v>
      </c>
      <c r="L48" s="703">
        <f>+landbouw!K12</f>
        <v>0</v>
      </c>
      <c r="M48" s="703">
        <f>+landbouw!L12</f>
        <v>0</v>
      </c>
      <c r="N48" s="703">
        <f>+landbouw!M12</f>
        <v>0</v>
      </c>
      <c r="O48" s="703">
        <f>+landbouw!N12</f>
        <v>0</v>
      </c>
      <c r="P48" s="703">
        <f>+landbouw!O12</f>
        <v>0</v>
      </c>
      <c r="Q48" s="704">
        <f>+landbouw!P12</f>
        <v>0</v>
      </c>
      <c r="R48" s="746">
        <f ca="1">SUM(C48:Q48)</f>
        <v>1474.4648284700434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13093.980135206239</v>
      </c>
      <c r="D53" s="758">
        <f t="shared" ref="D53:Q53" ca="1" si="6">D41+D46+D48</f>
        <v>0</v>
      </c>
      <c r="E53" s="758">
        <f t="shared" ca="1" si="6"/>
        <v>24640.679571350931</v>
      </c>
      <c r="F53" s="758">
        <f t="shared" si="6"/>
        <v>652.24231238195</v>
      </c>
      <c r="G53" s="758">
        <f t="shared" ca="1" si="6"/>
        <v>10352.61742252305</v>
      </c>
      <c r="H53" s="758">
        <f t="shared" si="6"/>
        <v>55659.196858650663</v>
      </c>
      <c r="I53" s="758">
        <f t="shared" si="6"/>
        <v>9209.8131431537076</v>
      </c>
      <c r="J53" s="758">
        <f t="shared" si="6"/>
        <v>0</v>
      </c>
      <c r="K53" s="758">
        <f t="shared" si="6"/>
        <v>42.835045129293661</v>
      </c>
      <c r="L53" s="758">
        <f t="shared" si="6"/>
        <v>0</v>
      </c>
      <c r="M53" s="758">
        <f t="shared" ca="1" si="6"/>
        <v>0</v>
      </c>
      <c r="N53" s="758">
        <f t="shared" si="6"/>
        <v>0</v>
      </c>
      <c r="O53" s="758">
        <f t="shared" ca="1" si="6"/>
        <v>0</v>
      </c>
      <c r="P53" s="758">
        <f>P41+P46+P48</f>
        <v>0</v>
      </c>
      <c r="Q53" s="759">
        <f t="shared" si="6"/>
        <v>0</v>
      </c>
      <c r="R53" s="760">
        <f ca="1">R41+R46+R48</f>
        <v>113651.36448839583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0.21117265151984355</v>
      </c>
      <c r="D55" s="824">
        <f t="shared" ca="1" si="7"/>
        <v>0</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2757.2623301744457</v>
      </c>
      <c r="C66" s="780">
        <f>'lokale energieproductie'!B6</f>
        <v>2757.2623301744457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2757.2623301744457</v>
      </c>
      <c r="C69" s="788">
        <f>SUM(C64:C68)</f>
        <v>2757.2623301744457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37241.959156740784</v>
      </c>
      <c r="C4" s="462">
        <f>huishoudens!C8</f>
        <v>0</v>
      </c>
      <c r="D4" s="462">
        <f>huishoudens!D8</f>
        <v>85383.182986467349</v>
      </c>
      <c r="E4" s="462">
        <f>huishoudens!E8</f>
        <v>1599.0564729156615</v>
      </c>
      <c r="F4" s="462">
        <f>huishoudens!F8</f>
        <v>31216.65301563208</v>
      </c>
      <c r="G4" s="462">
        <f>huishoudens!G8</f>
        <v>0</v>
      </c>
      <c r="H4" s="462">
        <f>huishoudens!H8</f>
        <v>0</v>
      </c>
      <c r="I4" s="462">
        <f>huishoudens!I8</f>
        <v>0</v>
      </c>
      <c r="J4" s="462">
        <f>huishoudens!J8</f>
        <v>0</v>
      </c>
      <c r="K4" s="462">
        <f>huishoudens!K8</f>
        <v>0</v>
      </c>
      <c r="L4" s="462">
        <f>huishoudens!L8</f>
        <v>0</v>
      </c>
      <c r="M4" s="462">
        <f>huishoudens!M8</f>
        <v>0</v>
      </c>
      <c r="N4" s="462">
        <f>huishoudens!N8</f>
        <v>5952.9555186598154</v>
      </c>
      <c r="O4" s="462">
        <f>huishoudens!O8</f>
        <v>101.61666666666667</v>
      </c>
      <c r="P4" s="463">
        <f>huishoudens!P8</f>
        <v>381.33333333333337</v>
      </c>
      <c r="Q4" s="464">
        <f>SUM(B4:P4)</f>
        <v>161876.75715041571</v>
      </c>
    </row>
    <row r="5" spans="1:17">
      <c r="A5" s="461" t="s">
        <v>156</v>
      </c>
      <c r="B5" s="462">
        <f ca="1">tertiair!B16</f>
        <v>15390.161480410439</v>
      </c>
      <c r="C5" s="462">
        <f ca="1">tertiair!C16</f>
        <v>0</v>
      </c>
      <c r="D5" s="462">
        <f ca="1">tertiair!D16</f>
        <v>29001.347705513352</v>
      </c>
      <c r="E5" s="462">
        <f>tertiair!E16</f>
        <v>155.29400258026197</v>
      </c>
      <c r="F5" s="462">
        <f ca="1">tertiair!F16</f>
        <v>3101.6637907915438</v>
      </c>
      <c r="G5" s="462">
        <f>tertiair!G16</f>
        <v>0</v>
      </c>
      <c r="H5" s="462">
        <f>tertiair!H16</f>
        <v>0</v>
      </c>
      <c r="I5" s="462">
        <f>tertiair!I16</f>
        <v>0</v>
      </c>
      <c r="J5" s="462">
        <f>tertiair!J16</f>
        <v>0</v>
      </c>
      <c r="K5" s="462">
        <f>tertiair!K16</f>
        <v>0</v>
      </c>
      <c r="L5" s="462">
        <f ca="1">tertiair!L16</f>
        <v>0</v>
      </c>
      <c r="M5" s="462">
        <f>tertiair!M16</f>
        <v>0</v>
      </c>
      <c r="N5" s="462">
        <f ca="1">tertiair!N16</f>
        <v>1756.162845926571</v>
      </c>
      <c r="O5" s="462">
        <f>tertiair!O16</f>
        <v>0</v>
      </c>
      <c r="P5" s="463">
        <f>tertiair!P16</f>
        <v>0</v>
      </c>
      <c r="Q5" s="461">
        <f t="shared" ref="Q5:Q13" ca="1" si="0">SUM(B5:P5)</f>
        <v>49404.62982522216</v>
      </c>
    </row>
    <row r="6" spans="1:17">
      <c r="A6" s="461" t="s">
        <v>194</v>
      </c>
      <c r="B6" s="462">
        <f>'openbare verlichting'!B8</f>
        <v>2251.2660000000001</v>
      </c>
      <c r="C6" s="462"/>
      <c r="D6" s="462"/>
      <c r="E6" s="462"/>
      <c r="F6" s="462"/>
      <c r="G6" s="462"/>
      <c r="H6" s="462"/>
      <c r="I6" s="462"/>
      <c r="J6" s="462"/>
      <c r="K6" s="462"/>
      <c r="L6" s="462"/>
      <c r="M6" s="462"/>
      <c r="N6" s="462"/>
      <c r="O6" s="462"/>
      <c r="P6" s="463"/>
      <c r="Q6" s="461">
        <f t="shared" si="0"/>
        <v>2251.2660000000001</v>
      </c>
    </row>
    <row r="7" spans="1:17">
      <c r="A7" s="461" t="s">
        <v>112</v>
      </c>
      <c r="B7" s="462">
        <f>landbouw!B8</f>
        <v>750.48032653655582</v>
      </c>
      <c r="C7" s="462">
        <f>landbouw!C8</f>
        <v>0</v>
      </c>
      <c r="D7" s="462">
        <f>landbouw!D8</f>
        <v>3106.9980983603828</v>
      </c>
      <c r="E7" s="462">
        <f>landbouw!E8</f>
        <v>7.0700275142877889</v>
      </c>
      <c r="F7" s="462">
        <f>landbouw!F8</f>
        <v>2449.0663680356733</v>
      </c>
      <c r="G7" s="462">
        <f>landbouw!G8</f>
        <v>0</v>
      </c>
      <c r="H7" s="462">
        <f>landbouw!H8</f>
        <v>0</v>
      </c>
      <c r="I7" s="462">
        <f>landbouw!I8</f>
        <v>0</v>
      </c>
      <c r="J7" s="462">
        <f>landbouw!J8</f>
        <v>92.838066728179015</v>
      </c>
      <c r="K7" s="462">
        <f>landbouw!K8</f>
        <v>0</v>
      </c>
      <c r="L7" s="462">
        <f>landbouw!L8</f>
        <v>0</v>
      </c>
      <c r="M7" s="462">
        <f>landbouw!M8</f>
        <v>0</v>
      </c>
      <c r="N7" s="462">
        <f>landbouw!N8</f>
        <v>0</v>
      </c>
      <c r="O7" s="462">
        <f>landbouw!O8</f>
        <v>0</v>
      </c>
      <c r="P7" s="463">
        <f>landbouw!P8</f>
        <v>0</v>
      </c>
      <c r="Q7" s="461">
        <f t="shared" si="0"/>
        <v>6406.4528871750781</v>
      </c>
    </row>
    <row r="8" spans="1:17">
      <c r="A8" s="461" t="s">
        <v>685</v>
      </c>
      <c r="B8" s="462">
        <f>industrie!B18</f>
        <v>6366.3277243098892</v>
      </c>
      <c r="C8" s="462">
        <f>industrie!C18</f>
        <v>0</v>
      </c>
      <c r="D8" s="462">
        <f>industrie!D18</f>
        <v>4475.8674843251829</v>
      </c>
      <c r="E8" s="462">
        <f>industrie!E18</f>
        <v>53.164246960116301</v>
      </c>
      <c r="F8" s="462">
        <f>industrie!F18</f>
        <v>2006.4648499715986</v>
      </c>
      <c r="G8" s="462">
        <f>industrie!G18</f>
        <v>0</v>
      </c>
      <c r="H8" s="462">
        <f>industrie!H18</f>
        <v>0</v>
      </c>
      <c r="I8" s="462">
        <f>industrie!I18</f>
        <v>0</v>
      </c>
      <c r="J8" s="462">
        <f>industrie!J18</f>
        <v>28.164885614458449</v>
      </c>
      <c r="K8" s="462">
        <f>industrie!K18</f>
        <v>0</v>
      </c>
      <c r="L8" s="462">
        <f>industrie!L18</f>
        <v>0</v>
      </c>
      <c r="M8" s="462">
        <f>industrie!M18</f>
        <v>0</v>
      </c>
      <c r="N8" s="462">
        <f>industrie!N18</f>
        <v>244.14639144689633</v>
      </c>
      <c r="O8" s="462">
        <f>industrie!O18</f>
        <v>0</v>
      </c>
      <c r="P8" s="463">
        <f>industrie!P18</f>
        <v>0</v>
      </c>
      <c r="Q8" s="461">
        <f t="shared" si="0"/>
        <v>13174.135582628141</v>
      </c>
    </row>
    <row r="9" spans="1:17" s="467" customFormat="1">
      <c r="A9" s="465" t="s">
        <v>579</v>
      </c>
      <c r="B9" s="466">
        <f>transport!B14</f>
        <v>5.8465345127082644</v>
      </c>
      <c r="C9" s="466">
        <f>transport!C14</f>
        <v>0</v>
      </c>
      <c r="D9" s="466">
        <f>transport!D14</f>
        <v>16.165959744252056</v>
      </c>
      <c r="E9" s="466">
        <f>transport!E14</f>
        <v>1058.7294014920071</v>
      </c>
      <c r="F9" s="466">
        <f>transport!F14</f>
        <v>0</v>
      </c>
      <c r="G9" s="466">
        <f>transport!G14</f>
        <v>203584.76590829052</v>
      </c>
      <c r="H9" s="466">
        <f>transport!H14</f>
        <v>36987.201378127342</v>
      </c>
      <c r="I9" s="466">
        <f>transport!I14</f>
        <v>0</v>
      </c>
      <c r="J9" s="466">
        <f>transport!J14</f>
        <v>0</v>
      </c>
      <c r="K9" s="466">
        <f>transport!K14</f>
        <v>0</v>
      </c>
      <c r="L9" s="466">
        <f>transport!L14</f>
        <v>0</v>
      </c>
      <c r="M9" s="466">
        <f>transport!M14</f>
        <v>10757.605322872574</v>
      </c>
      <c r="N9" s="466">
        <f>transport!N14</f>
        <v>0</v>
      </c>
      <c r="O9" s="466">
        <f>transport!O14</f>
        <v>0</v>
      </c>
      <c r="P9" s="466">
        <f>transport!P14</f>
        <v>0</v>
      </c>
      <c r="Q9" s="465">
        <f>SUM(B9:P9)</f>
        <v>252410.31450503942</v>
      </c>
    </row>
    <row r="10" spans="1:17">
      <c r="A10" s="461" t="s">
        <v>569</v>
      </c>
      <c r="B10" s="462">
        <f>transport!B54</f>
        <v>0</v>
      </c>
      <c r="C10" s="462">
        <f>transport!C54</f>
        <v>0</v>
      </c>
      <c r="D10" s="462">
        <f>transport!D54</f>
        <v>0</v>
      </c>
      <c r="E10" s="462">
        <f>transport!E54</f>
        <v>0</v>
      </c>
      <c r="F10" s="462">
        <f>transport!F54</f>
        <v>0</v>
      </c>
      <c r="G10" s="462">
        <f>transport!G54</f>
        <v>4876.6455473299357</v>
      </c>
      <c r="H10" s="462">
        <f>transport!H54</f>
        <v>0</v>
      </c>
      <c r="I10" s="462">
        <f>transport!I54</f>
        <v>0</v>
      </c>
      <c r="J10" s="462">
        <f>transport!J54</f>
        <v>0</v>
      </c>
      <c r="K10" s="462">
        <f>transport!K54</f>
        <v>0</v>
      </c>
      <c r="L10" s="462">
        <f>transport!L54</f>
        <v>0</v>
      </c>
      <c r="M10" s="462">
        <f>transport!M54</f>
        <v>214.14155051328194</v>
      </c>
      <c r="N10" s="462">
        <f>transport!N54</f>
        <v>0</v>
      </c>
      <c r="O10" s="462">
        <f>transport!O54</f>
        <v>0</v>
      </c>
      <c r="P10" s="463">
        <f>transport!P54</f>
        <v>0</v>
      </c>
      <c r="Q10" s="461">
        <f t="shared" si="0"/>
        <v>5090.7870978432175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62006.041222510386</v>
      </c>
      <c r="C14" s="472">
        <f t="shared" ref="C14:Q14" ca="1" si="1">SUM(C4:C13)</f>
        <v>0</v>
      </c>
      <c r="D14" s="472">
        <f t="shared" ca="1" si="1"/>
        <v>121983.56223441052</v>
      </c>
      <c r="E14" s="472">
        <f t="shared" si="1"/>
        <v>2873.3141514623348</v>
      </c>
      <c r="F14" s="472">
        <f t="shared" ca="1" si="1"/>
        <v>38773.848024430896</v>
      </c>
      <c r="G14" s="472">
        <f t="shared" si="1"/>
        <v>208461.41145562046</v>
      </c>
      <c r="H14" s="472">
        <f t="shared" si="1"/>
        <v>36987.201378127342</v>
      </c>
      <c r="I14" s="472">
        <f t="shared" si="1"/>
        <v>0</v>
      </c>
      <c r="J14" s="472">
        <f t="shared" si="1"/>
        <v>121.00295234263746</v>
      </c>
      <c r="K14" s="472">
        <f t="shared" si="1"/>
        <v>0</v>
      </c>
      <c r="L14" s="472">
        <f t="shared" ca="1" si="1"/>
        <v>0</v>
      </c>
      <c r="M14" s="472">
        <f t="shared" si="1"/>
        <v>10971.746873385857</v>
      </c>
      <c r="N14" s="472">
        <f t="shared" ca="1" si="1"/>
        <v>7953.2647560332825</v>
      </c>
      <c r="O14" s="472">
        <f t="shared" si="1"/>
        <v>101.61666666666667</v>
      </c>
      <c r="P14" s="473">
        <f t="shared" si="1"/>
        <v>381.33333333333337</v>
      </c>
      <c r="Q14" s="473">
        <f t="shared" ca="1" si="1"/>
        <v>490614.3430483237</v>
      </c>
    </row>
    <row r="16" spans="1:17">
      <c r="A16" s="475" t="s">
        <v>574</v>
      </c>
      <c r="B16" s="829">
        <f ca="1">huishoudens!B10</f>
        <v>0.21117265151984357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7864.4832629226694</v>
      </c>
      <c r="C21" s="462">
        <f t="shared" ref="C21:C30" ca="1" si="3">C4*$C$16</f>
        <v>0</v>
      </c>
      <c r="D21" s="462">
        <f t="shared" ref="D21:D30" si="4">D4*$D$16</f>
        <v>17247.402963266406</v>
      </c>
      <c r="E21" s="462">
        <f t="shared" ref="E21:E30" si="5">E4*$E$16</f>
        <v>362.98581935185518</v>
      </c>
      <c r="F21" s="462">
        <f t="shared" ref="F21:F30" si="6">F4*$F$16</f>
        <v>8334.8463551737659</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33809.718400714701</v>
      </c>
    </row>
    <row r="22" spans="1:17">
      <c r="A22" s="461" t="s">
        <v>156</v>
      </c>
      <c r="B22" s="462">
        <f t="shared" ca="1" si="2"/>
        <v>3249.9812071368337</v>
      </c>
      <c r="C22" s="462">
        <f t="shared" ca="1" si="3"/>
        <v>0</v>
      </c>
      <c r="D22" s="462">
        <f t="shared" ca="1" si="4"/>
        <v>5858.2722365136979</v>
      </c>
      <c r="E22" s="462">
        <f t="shared" si="5"/>
        <v>35.251738585719472</v>
      </c>
      <c r="F22" s="462">
        <f t="shared" ca="1" si="6"/>
        <v>828.14423214134229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9971.6494143775926</v>
      </c>
    </row>
    <row r="23" spans="1:17">
      <c r="A23" s="461" t="s">
        <v>194</v>
      </c>
      <c r="B23" s="462">
        <f t="shared" ca="1" si="2"/>
        <v>475.40581049647216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475.40581049647216</v>
      </c>
    </row>
    <row r="24" spans="1:17">
      <c r="A24" s="461" t="s">
        <v>112</v>
      </c>
      <c r="B24" s="462">
        <f t="shared" ca="1" si="2"/>
        <v>158.48092046820253</v>
      </c>
      <c r="C24" s="462">
        <f t="shared" ca="1" si="3"/>
        <v>0</v>
      </c>
      <c r="D24" s="462">
        <f t="shared" si="4"/>
        <v>627.61361586879741</v>
      </c>
      <c r="E24" s="462">
        <f t="shared" si="5"/>
        <v>1.6048962457433282</v>
      </c>
      <c r="F24" s="462">
        <f t="shared" si="6"/>
        <v>653.9007202655248</v>
      </c>
      <c r="G24" s="462">
        <f t="shared" si="7"/>
        <v>0</v>
      </c>
      <c r="H24" s="462">
        <f t="shared" si="8"/>
        <v>0</v>
      </c>
      <c r="I24" s="462">
        <f t="shared" si="9"/>
        <v>0</v>
      </c>
      <c r="J24" s="462">
        <f t="shared" si="10"/>
        <v>32.864675621775369</v>
      </c>
      <c r="K24" s="462">
        <f t="shared" si="11"/>
        <v>0</v>
      </c>
      <c r="L24" s="462">
        <f t="shared" si="12"/>
        <v>0</v>
      </c>
      <c r="M24" s="462">
        <f t="shared" si="13"/>
        <v>0</v>
      </c>
      <c r="N24" s="462">
        <f t="shared" si="14"/>
        <v>0</v>
      </c>
      <c r="O24" s="462">
        <f t="shared" si="15"/>
        <v>0</v>
      </c>
      <c r="P24" s="463">
        <f t="shared" si="16"/>
        <v>0</v>
      </c>
      <c r="Q24" s="461">
        <f t="shared" ca="1" si="17"/>
        <v>1474.4648284700434</v>
      </c>
    </row>
    <row r="25" spans="1:17">
      <c r="A25" s="461" t="s">
        <v>685</v>
      </c>
      <c r="B25" s="462">
        <f t="shared" ca="1" si="2"/>
        <v>1344.3943059868111</v>
      </c>
      <c r="C25" s="462">
        <f t="shared" ca="1" si="3"/>
        <v>0</v>
      </c>
      <c r="D25" s="462">
        <f t="shared" si="4"/>
        <v>904.12523183368705</v>
      </c>
      <c r="E25" s="462">
        <f t="shared" si="5"/>
        <v>12.0682840599464</v>
      </c>
      <c r="F25" s="462">
        <f t="shared" si="6"/>
        <v>535.72611494241687</v>
      </c>
      <c r="G25" s="462">
        <f t="shared" si="7"/>
        <v>0</v>
      </c>
      <c r="H25" s="462">
        <f t="shared" si="8"/>
        <v>0</v>
      </c>
      <c r="I25" s="462">
        <f t="shared" si="9"/>
        <v>0</v>
      </c>
      <c r="J25" s="462">
        <f t="shared" si="10"/>
        <v>9.9703695075182903</v>
      </c>
      <c r="K25" s="462">
        <f t="shared" si="11"/>
        <v>0</v>
      </c>
      <c r="L25" s="462">
        <f t="shared" si="12"/>
        <v>0</v>
      </c>
      <c r="M25" s="462">
        <f t="shared" si="13"/>
        <v>0</v>
      </c>
      <c r="N25" s="462">
        <f t="shared" si="14"/>
        <v>0</v>
      </c>
      <c r="O25" s="462">
        <f t="shared" si="15"/>
        <v>0</v>
      </c>
      <c r="P25" s="463">
        <f t="shared" si="16"/>
        <v>0</v>
      </c>
      <c r="Q25" s="461">
        <f t="shared" ca="1" si="17"/>
        <v>2806.2843063303794</v>
      </c>
    </row>
    <row r="26" spans="1:17" s="467" customFormat="1">
      <c r="A26" s="465" t="s">
        <v>579</v>
      </c>
      <c r="B26" s="823">
        <f t="shared" ca="1" si="2"/>
        <v>1.2346281952508809</v>
      </c>
      <c r="C26" s="466">
        <f t="shared" ca="1" si="3"/>
        <v>0</v>
      </c>
      <c r="D26" s="466">
        <f t="shared" si="4"/>
        <v>3.2655238683389154</v>
      </c>
      <c r="E26" s="466">
        <f t="shared" si="5"/>
        <v>240.33157413868562</v>
      </c>
      <c r="F26" s="466">
        <f t="shared" si="6"/>
        <v>0</v>
      </c>
      <c r="G26" s="466">
        <f t="shared" si="7"/>
        <v>54357.132497513572</v>
      </c>
      <c r="H26" s="466">
        <f t="shared" si="8"/>
        <v>9209.8131431537076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63811.777366869559</v>
      </c>
    </row>
    <row r="27" spans="1:17">
      <c r="A27" s="461" t="s">
        <v>569</v>
      </c>
      <c r="B27" s="462">
        <f t="shared" ca="1" si="2"/>
        <v>0</v>
      </c>
      <c r="C27" s="462">
        <f t="shared" ca="1" si="3"/>
        <v>0</v>
      </c>
      <c r="D27" s="462">
        <f t="shared" si="4"/>
        <v>0</v>
      </c>
      <c r="E27" s="462">
        <f t="shared" si="5"/>
        <v>0</v>
      </c>
      <c r="F27" s="462">
        <f t="shared" si="6"/>
        <v>0</v>
      </c>
      <c r="G27" s="462">
        <f t="shared" si="7"/>
        <v>1302.0643611370929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1302.0643611370929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13093.980135206239</v>
      </c>
      <c r="C31" s="472">
        <f t="shared" ca="1" si="18"/>
        <v>0</v>
      </c>
      <c r="D31" s="472">
        <f t="shared" ca="1" si="18"/>
        <v>24640.679571350931</v>
      </c>
      <c r="E31" s="472">
        <f t="shared" si="18"/>
        <v>652.24231238195</v>
      </c>
      <c r="F31" s="472">
        <f t="shared" ca="1" si="18"/>
        <v>10352.61742252305</v>
      </c>
      <c r="G31" s="472">
        <f t="shared" si="18"/>
        <v>55659.196858650663</v>
      </c>
      <c r="H31" s="472">
        <f t="shared" si="18"/>
        <v>9209.8131431537076</v>
      </c>
      <c r="I31" s="472">
        <f t="shared" si="18"/>
        <v>0</v>
      </c>
      <c r="J31" s="472">
        <f t="shared" si="18"/>
        <v>42.835045129293661</v>
      </c>
      <c r="K31" s="472">
        <f t="shared" si="18"/>
        <v>0</v>
      </c>
      <c r="L31" s="472">
        <f t="shared" ca="1" si="18"/>
        <v>0</v>
      </c>
      <c r="M31" s="472">
        <f t="shared" si="18"/>
        <v>0</v>
      </c>
      <c r="N31" s="472">
        <f t="shared" ca="1" si="18"/>
        <v>0</v>
      </c>
      <c r="O31" s="472">
        <f t="shared" si="18"/>
        <v>0</v>
      </c>
      <c r="P31" s="473">
        <f t="shared" si="18"/>
        <v>0</v>
      </c>
      <c r="Q31" s="473">
        <f t="shared" ca="1" si="18"/>
        <v>113651.36448839585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0.21117265151984357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0.21117265151984357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0.21117265151984357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2018-06-27T09:17:47Z</dcterms:modified>
</cp:coreProperties>
</file>