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I8" s="1"/>
  <c r="J68" i="14" s="1"/>
  <c r="T88" i="18"/>
  <c r="S88"/>
  <c r="R88"/>
  <c r="Q88"/>
  <c r="J8" s="1"/>
  <c r="P88"/>
  <c r="C8" s="1"/>
  <c r="D68" i="14" s="1"/>
  <c r="O88" i="1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K19" s="1"/>
  <c r="J17"/>
  <c r="I17"/>
  <c r="H17"/>
  <c r="I79" i="14" s="1"/>
  <c r="G17" i="18"/>
  <c r="G19" s="1"/>
  <c r="F17"/>
  <c r="E17"/>
  <c r="D17"/>
  <c r="C17"/>
  <c r="B17"/>
  <c r="B16"/>
  <c r="B78" i="14" s="1"/>
  <c r="K11" i="18"/>
  <c r="J11"/>
  <c r="I11"/>
  <c r="H11"/>
  <c r="G11"/>
  <c r="F11"/>
  <c r="E11"/>
  <c r="D11"/>
  <c r="C11"/>
  <c r="L8"/>
  <c r="L9" s="1"/>
  <c r="K8"/>
  <c r="K9" s="1"/>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M11"/>
  <c r="K11"/>
  <c r="J11"/>
  <c r="H11"/>
  <c r="G11"/>
  <c r="F11"/>
  <c r="P9"/>
  <c r="O9"/>
  <c r="N9"/>
  <c r="L9"/>
  <c r="K9"/>
  <c r="J9"/>
  <c r="I9"/>
  <c r="F9"/>
  <c r="C9"/>
  <c r="M8"/>
  <c r="K8"/>
  <c r="I8"/>
  <c r="H8"/>
  <c r="G8"/>
  <c r="P7"/>
  <c r="O7"/>
  <c r="M7"/>
  <c r="K7"/>
  <c r="I7"/>
  <c r="H7"/>
  <c r="G7"/>
  <c r="M4"/>
  <c r="L4"/>
  <c r="K4"/>
  <c r="I4"/>
  <c r="H4"/>
  <c r="G4"/>
  <c r="M79" i="14"/>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D8" i="17"/>
  <c r="E22" i="14" s="1"/>
  <c r="D6" i="17"/>
  <c r="N16" i="16"/>
  <c r="J15"/>
  <c r="D12" i="22"/>
  <c r="E17" i="14"/>
  <c r="D13" i="48"/>
  <c r="D30" s="1"/>
  <c r="D31" i="20"/>
  <c r="E43" i="14" s="1"/>
  <c r="E12" i="22"/>
  <c r="F17" i="14"/>
  <c r="E13" i="48"/>
  <c r="I101" i="18"/>
  <c r="H16" s="1"/>
  <c r="I78" i="14" s="1"/>
  <c r="E101" i="18"/>
  <c r="E16" s="1"/>
  <c r="F78" i="14" s="1"/>
  <c r="H101" i="18"/>
  <c r="D101"/>
  <c r="G101"/>
  <c r="I16" s="1"/>
  <c r="J78" i="14" s="1"/>
  <c r="C101" i="18"/>
  <c r="F101"/>
  <c r="B101"/>
  <c r="C16" s="1"/>
  <c r="D78" i="14" s="1"/>
  <c r="I11" i="48"/>
  <c r="N19" i="19"/>
  <c r="O35" i="14" s="1"/>
  <c r="B8" i="9"/>
  <c r="B6" i="48" s="1"/>
  <c r="Q6" s="1"/>
  <c r="P22" i="16"/>
  <c r="Q39" i="14" s="1"/>
  <c r="P18" i="16"/>
  <c r="P8" i="48" s="1"/>
  <c r="P25" s="1"/>
  <c r="F8" i="17"/>
  <c r="F7" i="48" s="1"/>
  <c r="F24" s="1"/>
  <c r="J8" i="17"/>
  <c r="J12" s="1"/>
  <c r="K48"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I19" i="18"/>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J9" i="16"/>
  <c r="B7" i="48"/>
  <c r="C22" i="14"/>
  <c r="C65"/>
  <c r="B65"/>
  <c r="F6" i="15"/>
  <c r="F8"/>
  <c r="N10" i="16"/>
  <c r="E14"/>
  <c r="L41" i="14"/>
  <c r="H15"/>
  <c r="L15"/>
  <c r="H69"/>
  <c r="J20"/>
  <c r="O20"/>
  <c r="L69"/>
  <c r="D5" i="15"/>
  <c r="B8"/>
  <c r="J8"/>
  <c r="F12"/>
  <c r="I20"/>
  <c r="J36" i="14" s="1"/>
  <c r="J41" s="1"/>
  <c r="B9" i="16"/>
  <c r="N9"/>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G23"/>
  <c r="K23"/>
  <c r="O23"/>
  <c r="G25"/>
  <c r="F26"/>
  <c r="J26"/>
  <c r="O26"/>
  <c r="F27"/>
  <c r="J27"/>
  <c r="I28"/>
  <c r="D29"/>
  <c r="H29"/>
  <c r="P29"/>
  <c r="K30"/>
  <c r="O30"/>
  <c r="C22" i="13"/>
  <c r="C21"/>
  <c r="C20"/>
  <c r="D23" i="48"/>
  <c r="H23"/>
  <c r="P23"/>
  <c r="H25"/>
  <c r="P26"/>
  <c r="F28"/>
  <c r="J28"/>
  <c r="N28"/>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C68" s="1"/>
  <c r="G68"/>
  <c r="G69" s="1"/>
  <c r="K68"/>
  <c r="E81"/>
  <c r="I81"/>
  <c r="M81"/>
  <c r="B19" i="18"/>
  <c r="F19"/>
  <c r="D11" i="14"/>
  <c r="C4" i="48"/>
  <c r="M8" i="18"/>
  <c r="M17"/>
  <c r="M18"/>
  <c r="L8" i="17" l="1"/>
  <c r="L12" s="1"/>
  <c r="M48" i="14" s="1"/>
  <c r="L5" i="17"/>
  <c r="L27" i="48"/>
  <c r="G22" i="14"/>
  <c r="J81"/>
  <c r="L29" i="48"/>
  <c r="D7"/>
  <c r="D24" s="1"/>
  <c r="O78" i="14"/>
  <c r="O81" s="1"/>
  <c r="B17" i="6" s="1"/>
  <c r="K22" i="14"/>
  <c r="D13"/>
  <c r="D15" s="1"/>
  <c r="E19" i="18"/>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E19" i="14" s="1"/>
  <c r="E20" s="1"/>
  <c r="N17"/>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13" i="48"/>
  <c r="M51" i="22"/>
  <c r="M50" s="1"/>
  <c r="M54" s="1"/>
  <c r="M10" i="48" s="1"/>
  <c r="M27" s="1"/>
  <c r="H31" i="20"/>
  <c r="I43" i="14" s="1"/>
  <c r="H13" i="48"/>
  <c r="H30" s="1"/>
  <c r="M31" i="20"/>
  <c r="N43" i="14" s="1"/>
  <c r="G50" i="22"/>
  <c r="G54" s="1"/>
  <c r="H18" i="14" s="1"/>
  <c r="G13" i="48"/>
  <c r="H17" i="14"/>
  <c r="G30" i="48"/>
  <c r="M5" i="22"/>
  <c r="G5"/>
  <c r="G14" s="1"/>
  <c r="H5"/>
  <c r="H14" s="1"/>
  <c r="I14" i="48"/>
  <c r="E5" i="15"/>
  <c r="O20"/>
  <c r="P36" i="14" s="1"/>
  <c r="P10"/>
  <c r="P20" i="15"/>
  <c r="Q36" i="14" s="1"/>
  <c r="Q41" s="1"/>
  <c r="Q53" s="1"/>
  <c r="Q10"/>
  <c r="Q15" s="1"/>
  <c r="Q23" s="1"/>
  <c r="J5" i="15"/>
  <c r="F4" i="48"/>
  <c r="F21" s="1"/>
  <c r="B69" i="14"/>
  <c r="B4" i="6" s="1"/>
  <c r="J23" i="14"/>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O28" i="48"/>
  <c r="H22"/>
  <c r="K31"/>
  <c r="L26"/>
  <c r="M30"/>
  <c r="M29"/>
  <c r="M25"/>
  <c r="M24"/>
  <c r="I31"/>
  <c r="C50" i="13"/>
  <c r="J5" s="1"/>
  <c r="J8" s="1"/>
  <c r="E7" i="48"/>
  <c r="E24" s="1"/>
  <c r="E12" i="17"/>
  <c r="F48" i="14" s="1"/>
  <c r="C5" i="48"/>
  <c r="C14" s="1"/>
  <c r="M22" i="14" l="1"/>
  <c r="J7" i="18"/>
  <c r="J9" s="1"/>
  <c r="L7" i="48"/>
  <c r="L24" s="1"/>
  <c r="R17" i="14"/>
  <c r="M14" i="22"/>
  <c r="E10" i="14"/>
  <c r="E15" s="1"/>
  <c r="E23" s="1"/>
  <c r="D5" i="48"/>
  <c r="D22" s="1"/>
  <c r="D31" s="1"/>
  <c r="J16" i="15"/>
  <c r="K10" i="14" s="1"/>
  <c r="C9" i="18"/>
  <c r="M7"/>
  <c r="M9" s="1"/>
  <c r="D67" i="14"/>
  <c r="N7" i="48"/>
  <c r="N24" s="1"/>
  <c r="N12" i="17"/>
  <c r="O48" i="14" s="1"/>
  <c r="K78"/>
  <c r="M16" i="18"/>
  <c r="M19" s="1"/>
  <c r="J19"/>
  <c r="O22" i="14"/>
  <c r="R22" s="1"/>
  <c r="P15"/>
  <c r="P23" s="1"/>
  <c r="O8" i="48"/>
  <c r="O25" s="1"/>
  <c r="P13" i="14"/>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K67"/>
  <c r="K69"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R10" i="14"/>
  <c r="J14" i="48" l="1"/>
  <c r="F22" i="16"/>
  <c r="G39" i="14" s="1"/>
  <c r="G41" s="1"/>
  <c r="G53" s="1"/>
  <c r="G55" s="1"/>
  <c r="O69" s="1"/>
  <c r="B9" i="6" s="1"/>
  <c r="B12" s="1"/>
  <c r="F8" i="48"/>
  <c r="F14" s="1"/>
  <c r="Q9"/>
  <c r="K13" i="14"/>
  <c r="K15" s="1"/>
  <c r="K23" s="1"/>
  <c r="E25" i="48"/>
  <c r="E31" s="1"/>
  <c r="E14"/>
  <c r="N25"/>
  <c r="N31" s="1"/>
  <c r="N14"/>
  <c r="E22" i="16"/>
  <c r="F39" i="14" s="1"/>
  <c r="F41" s="1"/>
  <c r="F53" s="1"/>
  <c r="F55" s="1"/>
  <c r="J22" i="16"/>
  <c r="K39" i="14" s="1"/>
  <c r="K41" s="1"/>
  <c r="K53" s="1"/>
  <c r="F13"/>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<sst xmlns="http://schemas.openxmlformats.org/spreadsheetml/2006/main" count="2018" uniqueCount="877">
  <si>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</si>
  <si>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</si>
  <si>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</si>
  <si>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</si>
  <si>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</si>
  <si>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</si>
  <si>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</si>
  <si>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</si>
  <si>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</si>
  <si>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</si>
  <si>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</si>
  <si>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</si>
  <si>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</si>
  <si>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</si>
  <si>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</si>
  <si>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</si>
  <si>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</si>
  <si>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</si>
  <si>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</si>
  <si>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</si>
  <si>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</si>
  <si>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</si>
  <si>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</si>
  <si>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</si>
  <si>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</si>
  <si>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</si>
  <si>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</si>
  <si>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</si>
  <si>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</si>
  <si>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</si>
  <si>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</si>
  <si>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</si>
  <si>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</si>
  <si>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</si>
  <si>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</si>
  <si>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</si>
  <si>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</si>
  <si>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</si>
  <si>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</si>
  <si>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</si>
  <si>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</si>
  <si>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</si>
  <si>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</si>
  <si>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</si>
  <si>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</si>
  <si>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</si>
  <si>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</si>
  <si>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</si>
  <si>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</si>
  <si>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</si>
  <si>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</si>
  <si>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</si>
  <si>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</si>
  <si>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</si>
  <si>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</si>
  <si>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</si>
  <si>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</si>
  <si>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</si>
  <si>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</si>
  <si>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</si>
  <si>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</si>
  <si>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</si>
  <si>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</si>
  <si>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</si>
  <si>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</si>
  <si>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</si>
  <si>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</si>
  <si>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</si>
  <si>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</si>
  <si>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</si>
  <si>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</si>
  <si>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</si>
  <si>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</si>
  <si>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</si>
  <si>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</si>
  <si>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</si>
  <si>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</si>
  <si>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</si>
  <si>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</si>
  <si>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</si>
  <si>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</si>
  <si>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</si>
  <si>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</si>
  <si>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</si>
  <si>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</si>
  <si>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</si>
  <si>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</si>
  <si>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</si>
  <si>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</si>
  <si>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</si>
  <si>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</si>
  <si>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</si>
  <si>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</si>
  <si>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</si>
  <si>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</si>
  <si>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</si>
  <si>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</si>
  <si>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</si>
  <si>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</si>
  <si>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</si>
  <si>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</si>
  <si>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</si>
  <si>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</si>
  <si>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</si>
  <si>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</si>
  <si>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</si>
  <si>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</si>
  <si>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</si>
  <si>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</si>
  <si>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</si>
  <si>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</si>
  <si>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</si>
  <si>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</si>
  <si>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</si>
  <si>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</si>
  <si>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</si>
  <si>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</si>
  <si>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</si>
  <si>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</si>
  <si>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</si>
  <si>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</si>
  <si>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</si>
  <si>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</si>
  <si>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</si>
  <si>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</si>
  <si>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</si>
  <si>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</si>
  <si>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</si>
  <si>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</si>
  <si>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</si>
  <si>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</si>
  <si>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</si>
  <si>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</si>
  <si>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</si>
  <si>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</si>
  <si>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</si>
  <si>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</si>
  <si>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</si>
  <si>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</si>
  <si>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</si>
  <si>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</si>
  <si>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</si>
  <si>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</si>
  <si>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</si>
  <si>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</si>
  <si>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</si>
  <si>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</si>
  <si>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</si>
  <si>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</si>
  <si>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</si>
  <si>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</si>
  <si>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</si>
  <si>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</si>
  <si>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</si>
  <si>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</si>
  <si>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</si>
  <si>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</si>
  <si>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</si>
  <si>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</si>
  <si>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</si>
  <si>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</si>
  <si>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</si>
  <si>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</si>
  <si>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</si>
  <si>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</si>
  <si>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</si>
  <si>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</si>
  <si>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</si>
  <si>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</si>
  <si>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</si>
  <si>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</si>
  <si>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</si>
  <si>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</si>
  <si>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</si>
  <si>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</si>
  <si>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</si>
  <si>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</si>
  <si>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</si>
  <si>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</si>
  <si>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</si>
  <si>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</si>
  <si>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</si>
  <si>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</si>
  <si>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</si>
  <si>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</si>
  <si>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</si>
  <si>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</si>
  <si>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</si>
  <si>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</si>
  <si>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</si>
  <si>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</si>
  <si>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</si>
  <si>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</si>
  <si>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</si>
  <si>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</si>
  <si>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</si>
  <si>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</si>
  <si>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</si>
  <si>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</si>
  <si>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</si>
  <si>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</si>
  <si>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</si>
  <si>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</si>
  <si>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</si>
  <si>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</si>
  <si>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</si>
  <si>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</si>
  <si>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</si>
  <si>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</si>
  <si>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</si>
  <si>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</si>
  <si>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</si>
  <si>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</si>
  <si>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</si>
  <si>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</si>
  <si>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</si>
  <si>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</si>
  <si>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</si>
  <si>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</si>
  <si>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</si>
  <si>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</si>
  <si>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</si>
  <si>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</si>
  <si>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</si>
  <si>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</si>
  <si>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</si>
  <si>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</si>
  <si>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</si>
  <si>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</si>
  <si>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</si>
  <si>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</si>
  <si>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</si>
  <si>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</si>
  <si>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</si>
  <si>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</si>
  <si>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</si>
  <si>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</si>
  <si>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</si>
  <si>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</si>
  <si>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</si>
  <si>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</si>
  <si>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</si>
  <si>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</si>
  <si>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</si>
  <si>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</si>
  <si>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</si>
  <si>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</si>
  <si>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</si>
  <si>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</si>
  <si>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</si>
  <si>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</si>
  <si>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</si>
  <si>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</si>
  <si>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</si>
  <si>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</si>
  <si>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</si>
  <si>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</si>
  <si>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</si>
  <si>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</si>
  <si>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</si>
  <si>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</si>
  <si>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</si>
  <si>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</si>
  <si>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</si>
  <si>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</si>
  <si>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</si>
  <si>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</si>
  <si>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</si>
  <si>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</si>
  <si>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</si>
  <si>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</si>
  <si>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</si>
  <si>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</si>
  <si>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</si>
  <si>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</si>
  <si>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</si>
  <si>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</si>
  <si>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</si>
  <si>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</si>
  <si>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</si>
  <si>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</si>
  <si>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</si>
  <si>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</si>
  <si>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</si>
  <si>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</si>
  <si>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</si>
  <si>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</si>
  <si>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</si>
  <si>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</si>
  <si>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</si>
  <si>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</si>
  <si>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</si>
  <si>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</si>
  <si>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</si>
  <si>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</si>
  <si>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</si>
  <si>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</si>
  <si>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</si>
  <si>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</si>
  <si>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</si>
  <si>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</si>
  <si>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</si>
  <si>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</si>
  <si>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</si>
  <si>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</si>
  <si>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</si>
  <si>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</si>
  <si>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</si>
  <si>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</si>
  <si>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</si>
  <si>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</si>
  <si>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</si>
  <si>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</si>
  <si>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</si>
  <si>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</si>
  <si>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</si>
  <si>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</si>
  <si>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</si>
  <si>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</si>
  <si>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</si>
  <si>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</si>
  <si>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</si>
  <si>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</si>
  <si>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</si>
  <si>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</si>
  <si>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</si>
  <si>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</si>
  <si>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</si>
  <si>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</si>
  <si>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</si>
  <si>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</si>
  <si>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</si>
  <si>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</si>
  <si>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</si>
  <si>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</si>
  <si>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</si>
  <si>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</si>
  <si>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</si>
  <si>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</si>
  <si>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</si>
  <si>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</si>
  <si>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</si>
  <si>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</si>
  <si>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</si>
  <si>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</si>
  <si>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</si>
  <si>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</si>
  <si>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</si>
  <si>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</si>
  <si>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</si>
  <si>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</si>
  <si>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</si>
  <si>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</si>
  <si>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</si>
  <si>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</si>
  <si>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</si>
  <si>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</si>
  <si>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</si>
  <si>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</si>
  <si>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</si>
  <si>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</si>
  <si>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</si>
  <si>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</si>
  <si>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</si>
  <si>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</si>
  <si>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</si>
  <si>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</si>
  <si>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</si>
  <si>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</si>
  <si>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</si>
  <si>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</si>
  <si>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</si>
  <si>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</si>
  <si>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</si>
  <si>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</si>
  <si>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</si>
  <si>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</si>
  <si>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</si>
  <si>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</si>
  <si>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</si>
  <si>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</si>
  <si>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</si>
  <si>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</si>
  <si>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</si>
  <si>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</si>
  <si>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</si>
  <si>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</si>
  <si>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</si>
  <si>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</si>
  <si>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</si>
  <si>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</si>
  <si>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</si>
  <si>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</si>
  <si>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</si>
  <si>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</si>
  <si>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</si>
  <si>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</si>
  <si>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</si>
  <si>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</si>
  <si>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</si>
  <si>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</si>
  <si>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</si>
  <si>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</si>
  <si>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</si>
  <si>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</si>
  <si>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</si>
  <si>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</si>
  <si>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</si>
  <si>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</si>
  <si>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</si>
  <si>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</si>
  <si>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</si>
  <si>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</si>
  <si>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</si>
  <si>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</si>
  <si>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</si>
  <si>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</si>
  <si>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</si>
  <si>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</si>
  <si>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</si>
  <si>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</si>
  <si>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</si>
  <si>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</si>
  <si>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</si>
  <si>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</si>
  <si>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</si>
  <si>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</si>
  <si>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</si>
  <si>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</si>
  <si>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</si>
  <si>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</si>
  <si>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</si>
  <si>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</si>
  <si>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</si>
  <si>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</si>
  <si>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</si>
  <si>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</si>
  <si>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</si>
  <si>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</si>
  <si>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</si>
  <si>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</si>
  <si>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</si>
  <si>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</si>
  <si>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</si>
  <si>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</si>
  <si>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</si>
  <si>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</si>
  <si>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</si>
  <si>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</si>
  <si>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</si>
  <si>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</si>
  <si>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</si>
  <si>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</si>
  <si>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</si>
  <si>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</si>
  <si>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</si>
  <si>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</si>
  <si>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</si>
  <si>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</si>
  <si>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</si>
  <si>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</si>
  <si>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</si>
  <si>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</si>
  <si>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</si>
  <si>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</si>
  <si>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</si>
  <si>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</si>
  <si>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</si>
  <si>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</si>
  <si>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</si>
  <si>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</si>
  <si>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</si>
  <si>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</si>
  <si>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</si>
  <si>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</si>
  <si>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</si>
  <si>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</si>
  <si>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</si>
  <si>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</si>
  <si>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</si>
  <si>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</si>
  <si>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</si>
  <si>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</si>
  <si>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</si>
  <si>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</si>
  <si>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</si>
  <si>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</si>
  <si>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</si>
  <si>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</si>
  <si>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</si>
  <si>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</si>
  <si>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</si>
  <si>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</si>
  <si>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</si>
  <si>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</si>
  <si>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</si>
  <si>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</si>
  <si>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</si>
  <si>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</si>
  <si>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</si>
  <si>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</si>
  <si>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</si>
  <si>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</si>
  <si>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</si>
  <si>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</si>
  <si>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</si>
  <si>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</si>
  <si>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</si>
  <si>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</si>
  <si>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</si>
  <si>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</si>
  <si>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</si>
  <si>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</si>
  <si>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</si>
  <si>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</si>
  <si>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</si>
  <si>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</si>
  <si>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</si>
  <si>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</si>
  <si>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</si>
  <si>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</si>
  <si>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</si>
  <si>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</si>
  <si>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</si>
  <si>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</si>
  <si>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</si>
  <si>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</si>
  <si>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</si>
  <si>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</si>
  <si>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</si>
  <si>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</si>
  <si>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</si>
  <si>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</si>
  <si>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</si>
  <si>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</si>
  <si>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</si>
  <si>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</si>
  <si>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</si>
  <si>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</si>
  <si>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</si>
  <si>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</si>
  <si>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</si>
  <si>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</si>
  <si>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</si>
  <si>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</si>
  <si>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</si>
  <si>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</si>
  <si>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</si>
  <si>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</si>
  <si>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</si>
  <si>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</si>
  <si>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</si>
  <si>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</si>
  <si>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</si>
  <si>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</si>
  <si>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</si>
  <si>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</si>
  <si>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</si>
  <si>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</si>
  <si>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</si>
  <si>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</si>
  <si>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</si>
  <si>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</si>
  <si>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</si>
  <si>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</si>
  <si>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</si>
  <si>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</si>
  <si>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</si>
  <si>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</si>
  <si>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</si>
  <si>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</si>
  <si>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</si>
  <si>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</si>
  <si>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</si>
  <si>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</si>
  <si>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</si>
  <si>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</si>
  <si>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</si>
  <si>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</si>
  <si>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</si>
  <si>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</si>
  <si>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</si>
  <si>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</si>
  <si>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</si>
  <si>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</si>
  <si>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</si>
  <si>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</si>
  <si>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</si>
  <si>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</si>
  <si>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</si>
  <si>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</si>
  <si>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</si>
  <si>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</si>
  <si>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</si>
  <si>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</si>
  <si>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</si>
  <si>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</si>
  <si>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</si>
  <si>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</si>
  <si>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</si>
  <si>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</si>
  <si>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</si>
  <si>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</si>
  <si>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</si>
  <si>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</si>
  <si>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</si>
  <si>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</si>
  <si>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</si>
  <si>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</si>
  <si>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</si>
  <si>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</si>
  <si>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</si>
  <si>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</si>
  <si>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</si>
  <si>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</si>
  <si>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</si>
  <si>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</si>
  <si>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</si>
  <si>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</si>
  <si>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</si>
  <si>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</si>
  <si>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</si>
  <si>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</si>
  <si>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</si>
  <si>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</si>
  <si>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</si>
  <si>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</si>
  <si>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</si>
  <si>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</si>
  <si>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</si>
  <si>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</si>
  <si>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</si>
  <si>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</si>
  <si>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</si>
  <si>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</si>
  <si>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</si>
  <si>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</si>
  <si>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</si>
  <si>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</si>
  <si>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</si>
  <si>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</si>
  <si>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</si>
  <si>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</si>
  <si>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</si>
  <si>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</si>
  <si>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</si>
  <si>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</si>
  <si>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</si>
  <si>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</si>
  <si>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</si>
  <si>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</si>
  <si>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</si>
  <si>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</si>
  <si>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</si>
  <si>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</si>
  <si>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</si>
  <si>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</si>
  <si>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</si>
  <si>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</si>
  <si>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</si>
  <si>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</si>
  <si>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</si>
  <si>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</si>
  <si>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</si>
  <si>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</si>
  <si>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</si>
  <si>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</si>
  <si>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</si>
  <si>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</si>
  <si>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</si>
  <si>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</si>
  <si>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</si>
  <si>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</si>
  <si>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</si>
  <si>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</si>
  <si>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</si>
  <si>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</si>
  <si>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</si>
  <si>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</si>
  <si>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</si>
  <si>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</si>
  <si>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</si>
  <si>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</si>
  <si>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</si>
  <si>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</si>
  <si>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</si>
  <si>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</si>
  <si>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</si>
  <si>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</si>
  <si>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</si>
  <si>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</si>
  <si>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</si>
  <si>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</si>
  <si>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</si>
  <si>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</si>
  <si>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</si>
  <si>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</si>
  <si>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</si>
  <si>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</si>
  <si>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</si>
  <si>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</si>
  <si>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</si>
  <si>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</si>
  <si>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</si>
  <si>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</si>
  <si>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</si>
  <si>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</si>
  <si>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</si>
  <si>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</si>
  <si>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</si>
  <si>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</si>
  <si>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</si>
  <si>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</si>
  <si>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</si>
  <si>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</si>
  <si>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</si>
  <si>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</si>
  <si>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</si>
  <si>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</si>
  <si>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</si>
  <si>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</si>
  <si>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</si>
  <si>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</si>
  <si>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</si>
  <si>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</si>
  <si>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</si>
  <si>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</si>
  <si>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</si>
  <si>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</si>
  <si>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</si>
  <si>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</si>
  <si>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</si>
  <si>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</si>
  <si>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</si>
  <si>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</si>
  <si>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</si>
  <si>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</si>
  <si>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</si>
  <si>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</si>
  <si>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</si>
  <si>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</si>
  <si>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</si>
  <si>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</si>
  <si>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</si>
  <si>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</si>
  <si>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</si>
  <si>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</si>
  <si>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</si>
  <si>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</si>
  <si>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</si>
  <si>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</si>
  <si>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</si>
  <si>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</si>
  <si>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</si>
  <si>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</si>
  <si>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</si>
  <si>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</si>
  <si>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</si>
  <si>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</si>
  <si>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</si>
  <si>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</si>
  <si>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</si>
  <si>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</si>
  <si>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</si>
  <si>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</si>
  <si>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</si>
  <si>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</si>
  <si>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</si>
  <si>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</si>
  <si>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</si>
  <si>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</si>
  <si>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</si>
  <si>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</si>
  <si>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</si>
  <si>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</si>
  <si>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</si>
  <si>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</si>
  <si>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</si>
  <si>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</si>
  <si>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</si>
  <si>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</si>
  <si>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</si>
  <si>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</si>
  <si>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</si>
  <si>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</si>
  <si>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</si>
  <si>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</si>
  <si>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</si>
  <si>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</si>
  <si>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</si>
  <si>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</si>
  <si>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</si>
  <si>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</si>
  <si>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</si>
  <si>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</si>
  <si>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</si>
  <si>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</si>
  <si>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</si>
  <si>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</si>
  <si>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</si>
  <si>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</si>
  <si>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</si>
  <si>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</si>
  <si>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</si>
  <si>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</si>
  <si>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</si>
  <si>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</si>
  <si>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</si>
  <si>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</si>
  <si>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</si>
  <si>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</si>
  <si>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</si>
  <si>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</si>
  <si>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</si>
  <si>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</si>
  <si>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</si>
  <si>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</si>
  <si>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</si>
  <si>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</si>
  <si>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</si>
  <si>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</si>
  <si>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</si>
  <si>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</si>
  <si>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</si>
  <si>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</si>
  <si>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</si>
  <si>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</si>
  <si>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</si>
  <si>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</si>
  <si>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</si>
  <si>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</si>
  <si>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</si>
  <si>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</si>
  <si>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</si>
  <si>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</si>
  <si>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</si>
  <si>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</si>
  <si>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</si>
  <si>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</si>
  <si>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</si>
  <si>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</si>
  <si>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</si>
  <si>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</si>
  <si>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</si>
  <si>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</si>
  <si>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</si>
  <si>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</si>
  <si>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</si>
  <si>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</si>
  <si>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</si>
  <si>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</si>
  <si>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</si>
  <si>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</si>
  <si>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</si>
  <si>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</si>
  <si>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</si>
  <si>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</si>
  <si>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</si>
  <si>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</si>
  <si>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</si>
  <si>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</si>
  <si>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</si>
  <si>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</si>
  <si>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</si>
  <si>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</si>
  <si>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</si>
  <si>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</si>
  <si>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</si>
  <si>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</si>
  <si>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</si>
  <si>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</si>
  <si>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23045</t>
  </si>
  <si>
    <t>LONDERZEEL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</si>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</sst>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23045</v>
      </c>
      <c r="B6" s="397"/>
      <c r="C6" s="398"/>
    </row>
    <row r="7" spans="1:7" s="395" customFormat="1" ht="15.75" customHeight="1">
      <c r="A7" s="399" t="str">
        <f>txtMunicipality</f>
        <v>LONDERZEEL</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23045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7348</v>
      </c>
      <c r="C9" s="338">
        <v>7742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1923</v>
      </c>
    </row>
    <row r="15" spans="1:6">
      <c r="A15" s="1205" t="s">
        <v>184</v>
      </c>
      <c r="B15" s="335">
        <v>14</v>
      </c>
    </row>
    <row r="16" spans="1:6">
      <c r="A16" s="1205" t="s">
        <v>6</v>
      </c>
      <c r="B16" s="335">
        <v>729</v>
      </c>
    </row>
    <row r="17" spans="1:6">
      <c r="A17" s="1205" t="s">
        <v>7</v>
      </c>
      <c r="B17" s="335">
        <v>388</v>
      </c>
    </row>
    <row r="18" spans="1:6">
      <c r="A18" s="1205" t="s">
        <v>8</v>
      </c>
      <c r="B18" s="335">
        <v>653</v>
      </c>
    </row>
    <row r="19" spans="1:6">
      <c r="A19" s="1205" t="s">
        <v>9</v>
      </c>
      <c r="B19" s="335">
        <v>646</v>
      </c>
    </row>
    <row r="20" spans="1:6">
      <c r="A20" s="1205" t="s">
        <v>10</v>
      </c>
      <c r="B20" s="335">
        <v>479</v>
      </c>
    </row>
    <row r="21" spans="1:6">
      <c r="A21" s="1205" t="s">
        <v>11</v>
      </c>
      <c r="B21" s="335">
        <v>837</v>
      </c>
    </row>
    <row r="22" spans="1:6">
      <c r="A22" s="1205" t="s">
        <v>12</v>
      </c>
      <c r="B22" s="335">
        <v>4438</v>
      </c>
    </row>
    <row r="23" spans="1:6">
      <c r="A23" s="1205" t="s">
        <v>13</v>
      </c>
      <c r="B23" s="335">
        <v>132</v>
      </c>
    </row>
    <row r="24" spans="1:6">
      <c r="A24" s="1205" t="s">
        <v>14</v>
      </c>
      <c r="B24" s="335">
        <v>3</v>
      </c>
    </row>
    <row r="25" spans="1:6">
      <c r="A25" s="1205" t="s">
        <v>15</v>
      </c>
      <c r="B25" s="335">
        <v>275</v>
      </c>
    </row>
    <row r="26" spans="1:6">
      <c r="A26" s="1205" t="s">
        <v>16</v>
      </c>
      <c r="B26" s="335">
        <v>421</v>
      </c>
    </row>
    <row r="27" spans="1:6">
      <c r="A27" s="1205" t="s">
        <v>17</v>
      </c>
      <c r="B27" s="335">
        <v>3</v>
      </c>
    </row>
    <row r="28" spans="1:6" s="341" customFormat="1">
      <c r="A28" s="1206" t="s">
        <v>18</v>
      </c>
      <c r="B28" s="1206">
        <v>5083</v>
      </c>
    </row>
    <row r="29" spans="1:6">
      <c r="A29" s="1206" t="s">
        <v>873</v>
      </c>
      <c r="B29" s="1206">
        <v>259</v>
      </c>
      <c r="C29" s="341"/>
      <c r="D29" s="341"/>
      <c r="E29" s="341"/>
      <c r="F29" s="341"/>
    </row>
    <row r="30" spans="1:6">
      <c r="A30" s="1201" t="s">
        <v>874</v>
      </c>
      <c r="B30" s="1201">
        <v>87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3494</v>
      </c>
      <c r="D39" s="335">
        <v>63627967.804874197</v>
      </c>
      <c r="E39" s="335">
        <v>7180</v>
      </c>
      <c r="F39" s="335">
        <v>33418812.4763963</v>
      </c>
    </row>
    <row r="40" spans="1:6">
      <c r="A40" s="1205" t="s">
        <v>30</v>
      </c>
      <c r="B40" s="1205" t="s">
        <v>29</v>
      </c>
      <c r="C40" s="335">
        <v>0</v>
      </c>
      <c r="D40" s="335">
        <v>0</v>
      </c>
      <c r="E40" s="335">
        <v>0</v>
      </c>
      <c r="F40" s="335">
        <v>0</v>
      </c>
    </row>
    <row r="41" spans="1:6">
      <c r="A41" s="1205" t="s">
        <v>32</v>
      </c>
      <c r="B41" s="1205" t="s">
        <v>33</v>
      </c>
      <c r="C41" s="335">
        <v>34</v>
      </c>
      <c r="D41" s="335">
        <v>686839.860641515</v>
      </c>
      <c r="E41" s="335">
        <v>133</v>
      </c>
      <c r="F41" s="335">
        <v>1155085.6620028799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4</v>
      </c>
      <c r="D44" s="335">
        <v>104976.471531485</v>
      </c>
      <c r="E44" s="335">
        <v>19</v>
      </c>
      <c r="F44" s="335">
        <v>1125320.7072710199</v>
      </c>
    </row>
    <row r="45" spans="1:6">
      <c r="A45" s="1205" t="s">
        <v>32</v>
      </c>
      <c r="B45" s="1205" t="s">
        <v>37</v>
      </c>
      <c r="C45" s="335">
        <v>0</v>
      </c>
      <c r="D45" s="335">
        <v>0</v>
      </c>
      <c r="E45" s="335">
        <v>7</v>
      </c>
      <c r="F45" s="335">
        <v>433416.00463965599</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36</v>
      </c>
      <c r="D48" s="335">
        <v>33382364.185760301</v>
      </c>
      <c r="E48" s="335">
        <v>43</v>
      </c>
      <c r="F48" s="335">
        <v>3463644.0683622402</v>
      </c>
    </row>
    <row r="49" spans="1:6">
      <c r="A49" s="1205" t="s">
        <v>32</v>
      </c>
      <c r="B49" s="1205" t="s">
        <v>40</v>
      </c>
      <c r="C49" s="335">
        <v>0</v>
      </c>
      <c r="D49" s="335">
        <v>0</v>
      </c>
      <c r="E49" s="335">
        <v>0</v>
      </c>
      <c r="F49" s="335">
        <v>0</v>
      </c>
    </row>
    <row r="50" spans="1:6">
      <c r="A50" s="1205" t="s">
        <v>32</v>
      </c>
      <c r="B50" s="1205" t="s">
        <v>41</v>
      </c>
      <c r="C50" s="335">
        <v>7</v>
      </c>
      <c r="D50" s="335">
        <v>9512377.1965866908</v>
      </c>
      <c r="E50" s="335">
        <v>17</v>
      </c>
      <c r="F50" s="335">
        <v>21234432.1702439</v>
      </c>
    </row>
    <row r="51" spans="1:6">
      <c r="A51" s="1205" t="s">
        <v>42</v>
      </c>
      <c r="B51" s="1205" t="s">
        <v>43</v>
      </c>
      <c r="C51" s="335">
        <v>0</v>
      </c>
      <c r="D51" s="335">
        <v>0</v>
      </c>
      <c r="E51" s="335">
        <v>76</v>
      </c>
      <c r="F51" s="335">
        <v>2949197.3552670698</v>
      </c>
    </row>
    <row r="52" spans="1:6">
      <c r="A52" s="1205" t="s">
        <v>42</v>
      </c>
      <c r="B52" s="1205" t="s">
        <v>29</v>
      </c>
      <c r="C52" s="335">
        <v>7</v>
      </c>
      <c r="D52" s="335">
        <v>3032714.5663723</v>
      </c>
      <c r="E52" s="335">
        <v>11</v>
      </c>
      <c r="F52" s="335">
        <v>141385.42575277999</v>
      </c>
    </row>
    <row r="53" spans="1:6">
      <c r="A53" s="1205" t="s">
        <v>44</v>
      </c>
      <c r="B53" s="1205" t="s">
        <v>45</v>
      </c>
      <c r="C53" s="335">
        <v>63</v>
      </c>
      <c r="D53" s="335">
        <v>1362895.3664986501</v>
      </c>
      <c r="E53" s="335">
        <v>189</v>
      </c>
      <c r="F53" s="335">
        <v>1168951.62472323</v>
      </c>
    </row>
    <row r="54" spans="1:6">
      <c r="A54" s="1205" t="s">
        <v>46</v>
      </c>
      <c r="B54" s="1205" t="s">
        <v>47</v>
      </c>
      <c r="C54" s="335">
        <v>0</v>
      </c>
      <c r="D54" s="335">
        <v>0</v>
      </c>
      <c r="E54" s="335">
        <v>1</v>
      </c>
      <c r="F54" s="335">
        <v>1331963</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61</v>
      </c>
      <c r="D57" s="335">
        <v>8838192.9440860692</v>
      </c>
      <c r="E57" s="335">
        <v>141</v>
      </c>
      <c r="F57" s="335">
        <v>3934827.1433944302</v>
      </c>
    </row>
    <row r="58" spans="1:6">
      <c r="A58" s="1205" t="s">
        <v>49</v>
      </c>
      <c r="B58" s="1205" t="s">
        <v>51</v>
      </c>
      <c r="C58" s="335">
        <v>13</v>
      </c>
      <c r="D58" s="335">
        <v>541024.77452638804</v>
      </c>
      <c r="E58" s="335">
        <v>34</v>
      </c>
      <c r="F58" s="335">
        <v>885409.95502156694</v>
      </c>
    </row>
    <row r="59" spans="1:6">
      <c r="A59" s="1205" t="s">
        <v>49</v>
      </c>
      <c r="B59" s="1205" t="s">
        <v>52</v>
      </c>
      <c r="C59" s="335">
        <v>81</v>
      </c>
      <c r="D59" s="335">
        <v>4925982.5012445804</v>
      </c>
      <c r="E59" s="335">
        <v>235</v>
      </c>
      <c r="F59" s="335">
        <v>6959425.8030488798</v>
      </c>
    </row>
    <row r="60" spans="1:6">
      <c r="A60" s="1205" t="s">
        <v>49</v>
      </c>
      <c r="B60" s="1205" t="s">
        <v>53</v>
      </c>
      <c r="C60" s="335">
        <v>57</v>
      </c>
      <c r="D60" s="335">
        <v>2023978.8128968</v>
      </c>
      <c r="E60" s="335">
        <v>93</v>
      </c>
      <c r="F60" s="335">
        <v>2061774.4601990799</v>
      </c>
    </row>
    <row r="61" spans="1:6">
      <c r="A61" s="1205" t="s">
        <v>49</v>
      </c>
      <c r="B61" s="1205" t="s">
        <v>54</v>
      </c>
      <c r="C61" s="335">
        <v>74</v>
      </c>
      <c r="D61" s="335">
        <v>4115633.7267449498</v>
      </c>
      <c r="E61" s="335">
        <v>183</v>
      </c>
      <c r="F61" s="335">
        <v>16324071.8673953</v>
      </c>
    </row>
    <row r="62" spans="1:6">
      <c r="A62" s="1205" t="s">
        <v>49</v>
      </c>
      <c r="B62" s="1205" t="s">
        <v>55</v>
      </c>
      <c r="C62" s="335">
        <v>3</v>
      </c>
      <c r="D62" s="335">
        <v>458246.56459023402</v>
      </c>
      <c r="E62" s="335">
        <v>3</v>
      </c>
      <c r="F62" s="335">
        <v>142962.48343528499</v>
      </c>
    </row>
    <row r="63" spans="1:6">
      <c r="A63" s="1205" t="s">
        <v>49</v>
      </c>
      <c r="B63" s="1205" t="s">
        <v>29</v>
      </c>
      <c r="C63" s="335">
        <v>89</v>
      </c>
      <c r="D63" s="335">
        <v>4989538.8079663198</v>
      </c>
      <c r="E63" s="335">
        <v>111</v>
      </c>
      <c r="F63" s="335">
        <v>3484576.6075523002</v>
      </c>
    </row>
    <row r="64" spans="1:6">
      <c r="A64" s="1205" t="s">
        <v>56</v>
      </c>
      <c r="B64" s="1205" t="s">
        <v>57</v>
      </c>
      <c r="C64" s="335">
        <v>0</v>
      </c>
      <c r="D64" s="335">
        <v>0</v>
      </c>
      <c r="E64" s="335">
        <v>0</v>
      </c>
      <c r="F64" s="335">
        <v>0</v>
      </c>
    </row>
    <row r="65" spans="1:6">
      <c r="A65" s="1205" t="s">
        <v>56</v>
      </c>
      <c r="B65" s="1205" t="s">
        <v>29</v>
      </c>
      <c r="C65" s="335">
        <v>1</v>
      </c>
      <c r="D65" s="335">
        <v>22661.0319911685</v>
      </c>
      <c r="E65" s="335">
        <v>1</v>
      </c>
      <c r="F65" s="335">
        <v>4475.3378697046001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425766.589128097</v>
      </c>
      <c r="E68" s="335">
        <v>25</v>
      </c>
      <c r="F68" s="335">
        <v>919692.19316728995</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22103359</v>
      </c>
      <c r="E73" s="335">
        <v>22581144.806068849</v>
      </c>
    </row>
    <row r="74" spans="1:6">
      <c r="A74" s="1205" t="s">
        <v>64</v>
      </c>
      <c r="B74" s="1205" t="s">
        <v>772</v>
      </c>
      <c r="C74" s="1216" t="s">
        <v>766</v>
      </c>
      <c r="D74" s="335">
        <v>365998.14891348616</v>
      </c>
      <c r="E74" s="335">
        <v>412863.52106486779</v>
      </c>
    </row>
    <row r="75" spans="1:6">
      <c r="A75" s="1205" t="s">
        <v>65</v>
      </c>
      <c r="B75" s="1205" t="s">
        <v>771</v>
      </c>
      <c r="C75" s="1216" t="s">
        <v>767</v>
      </c>
      <c r="D75" s="335">
        <v>64702382</v>
      </c>
      <c r="E75" s="335">
        <v>66550740.877816729</v>
      </c>
    </row>
    <row r="76" spans="1:6">
      <c r="A76" s="1205" t="s">
        <v>65</v>
      </c>
      <c r="B76" s="1205" t="s">
        <v>772</v>
      </c>
      <c r="C76" s="1216" t="s">
        <v>768</v>
      </c>
      <c r="D76" s="335">
        <v>2625802.1489134859</v>
      </c>
      <c r="E76" s="335">
        <v>2775028.8207417903</v>
      </c>
    </row>
    <row r="77" spans="1:6">
      <c r="A77" s="1205" t="s">
        <v>66</v>
      </c>
      <c r="B77" s="1205" t="s">
        <v>771</v>
      </c>
      <c r="C77" s="1216" t="s">
        <v>769</v>
      </c>
      <c r="D77" s="335">
        <v>44725648</v>
      </c>
      <c r="E77" s="335">
        <v>47534857.811022632</v>
      </c>
    </row>
    <row r="78" spans="1:6">
      <c r="A78" s="1201" t="s">
        <v>66</v>
      </c>
      <c r="B78" s="1201" t="s">
        <v>772</v>
      </c>
      <c r="C78" s="1201" t="s">
        <v>770</v>
      </c>
      <c r="D78" s="1201">
        <v>6091937</v>
      </c>
      <c r="E78" s="1201">
        <v>6554562.3642409416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693193.70217302768</v>
      </c>
      <c r="C83" s="335">
        <v>671868.41060842585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3164.2803099110156</v>
      </c>
    </row>
    <row r="92" spans="1:6">
      <c r="A92" s="1201" t="s">
        <v>69</v>
      </c>
      <c r="B92" s="338">
        <v>1477.9467437215794</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1612</v>
      </c>
    </row>
    <row r="98" spans="1:6">
      <c r="A98" s="1205" t="s">
        <v>72</v>
      </c>
      <c r="B98" s="335">
        <v>5</v>
      </c>
    </row>
    <row r="99" spans="1:6">
      <c r="A99" s="1205" t="s">
        <v>73</v>
      </c>
      <c r="B99" s="335">
        <v>61</v>
      </c>
    </row>
    <row r="100" spans="1:6">
      <c r="A100" s="1205" t="s">
        <v>74</v>
      </c>
      <c r="B100" s="335">
        <v>656</v>
      </c>
    </row>
    <row r="101" spans="1:6">
      <c r="A101" s="1205" t="s">
        <v>75</v>
      </c>
      <c r="B101" s="335">
        <v>65</v>
      </c>
    </row>
    <row r="102" spans="1:6">
      <c r="A102" s="1205" t="s">
        <v>76</v>
      </c>
      <c r="B102" s="335">
        <v>94</v>
      </c>
    </row>
    <row r="103" spans="1:6">
      <c r="A103" s="1205" t="s">
        <v>77</v>
      </c>
      <c r="B103" s="335">
        <v>151</v>
      </c>
    </row>
    <row r="104" spans="1:6">
      <c r="A104" s="1205" t="s">
        <v>78</v>
      </c>
      <c r="B104" s="335">
        <v>3979</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2</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6</v>
      </c>
      <c r="C123" s="335">
        <v>15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65</v>
      </c>
    </row>
    <row r="130" spans="1:6">
      <c r="A130" s="1205" t="s">
        <v>295</v>
      </c>
      <c r="B130" s="335">
        <v>1</v>
      </c>
    </row>
    <row r="131" spans="1:6">
      <c r="A131" s="1205" t="s">
        <v>296</v>
      </c>
      <c r="B131" s="335">
        <v>4</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102213.35292408905</v>
      </c>
      <c r="C3" s="44" t="s">
        <v>170</v>
      </c>
      <c r="D3" s="44"/>
      <c r="E3" s="157"/>
      <c r="F3" s="44"/>
      <c r="G3" s="44"/>
      <c r="H3" s="44"/>
      <c r="I3" s="44"/>
      <c r="J3" s="44"/>
      <c r="K3" s="97"/>
    </row>
    <row r="4" spans="1:11">
      <c r="A4" s="365" t="s">
        <v>171</v>
      </c>
      <c r="B4" s="50">
        <f>IF(ISERROR('SEAP template'!B69),0,'SEAP template'!B69)</f>
        <v>4642.227053632595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0.21096283607275132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1331.963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1331.963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0.21096283607275132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280.99469202397006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33418.812476396299</v>
      </c>
      <c r="C5" s="18">
        <f>IF(ISERROR('Eigen informatie GS &amp; warmtenet'!B57),0,'Eigen informatie GS &amp; warmtenet'!B57)</f>
        <v>0</v>
      </c>
      <c r="D5" s="31">
        <f>(SUM(HH_hh_gas_kWh,HH_rest_gas_kWh)/1000)*0.902</f>
        <v>57392.426959996526</v>
      </c>
      <c r="E5" s="18">
        <f>B46*B57</f>
        <v>2672.6300815582763</v>
      </c>
      <c r="F5" s="18">
        <f>B51*B62</f>
        <v>45109.583578678656</v>
      </c>
      <c r="G5" s="19"/>
      <c r="H5" s="18"/>
      <c r="I5" s="18"/>
      <c r="J5" s="18">
        <f>B50*B61+C50*C61</f>
        <v>0</v>
      </c>
      <c r="K5" s="18"/>
      <c r="L5" s="18"/>
      <c r="M5" s="18"/>
      <c r="N5" s="18">
        <f>B48*B59+C48*C59</f>
        <v>9248.6258038327469</v>
      </c>
      <c r="O5" s="18">
        <f>B69*B70*B71</f>
        <v>125.06666666666666</v>
      </c>
      <c r="P5" s="18">
        <f>B77*B78*B79/1000-B77*B78*B79/1000/B80</f>
        <v>266.93333333333334</v>
      </c>
    </row>
    <row r="6" spans="1:16">
      <c r="A6" s="17" t="s">
        <v>639</v>
      </c>
      <c r="B6" s="831">
        <f>kWh_PV_kleiner_dan_10kW</f>
        <v>3164.2803099110156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36583.092786307316</v>
      </c>
      <c r="C8" s="22">
        <f>C5</f>
        <v>0</v>
      </c>
      <c r="D8" s="22">
        <f>D5</f>
        <v>57392.426959996526</v>
      </c>
      <c r="E8" s="22">
        <f>E5</f>
        <v>2672.6300815582763</v>
      </c>
      <c r="F8" s="22">
        <f>F5</f>
        <v>45109.583578678656</v>
      </c>
      <c r="G8" s="22"/>
      <c r="H8" s="22"/>
      <c r="I8" s="22"/>
      <c r="J8" s="22">
        <f>J5</f>
        <v>0</v>
      </c>
      <c r="K8" s="22"/>
      <c r="L8" s="22">
        <f>L5</f>
        <v>0</v>
      </c>
      <c r="M8" s="22">
        <f>M5</f>
        <v>0</v>
      </c>
      <c r="N8" s="22">
        <f>N5</f>
        <v>9248.6258038327469</v>
      </c>
      <c r="O8" s="22">
        <f>O5</f>
        <v>125.06666666666666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0.21096283607275132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7717.6730065120018</v>
      </c>
      <c r="C12" s="24">
        <f ca="1">C10*C8</f>
        <v>0</v>
      </c>
      <c r="D12" s="24">
        <f>D8*D10</f>
        <v>11593.270245919299</v>
      </c>
      <c r="E12" s="24">
        <f>E10*E8</f>
        <v>606.68702851372871</v>
      </c>
      <c r="F12" s="24">
        <f>F10*F8</f>
        <v>12044.258815507203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1612</v>
      </c>
      <c r="C18" s="169" t="s">
        <v>111</v>
      </c>
      <c r="D18" s="231"/>
      <c r="E18" s="16"/>
    </row>
    <row r="19" spans="1:7">
      <c r="A19" s="174" t="s">
        <v>72</v>
      </c>
      <c r="B19" s="38">
        <f>aantalw2001_ander</f>
        <v>5</v>
      </c>
      <c r="C19" s="169" t="s">
        <v>111</v>
      </c>
      <c r="D19" s="232"/>
      <c r="E19" s="16"/>
    </row>
    <row r="20" spans="1:7">
      <c r="A20" s="174" t="s">
        <v>73</v>
      </c>
      <c r="B20" s="38">
        <f>aantalw2001_propaan</f>
        <v>61</v>
      </c>
      <c r="C20" s="170">
        <f>IF(ISERROR(B20/SUM($B$20,$B$21,$B$22)*100),0,B20/SUM($B$20,$B$21,$B$22)*100)</f>
        <v>7.8005115089514065</v>
      </c>
      <c r="D20" s="232"/>
      <c r="E20" s="16"/>
    </row>
    <row r="21" spans="1:7">
      <c r="A21" s="174" t="s">
        <v>74</v>
      </c>
      <c r="B21" s="38">
        <f>aantalw2001_elektriciteit</f>
        <v>656</v>
      </c>
      <c r="C21" s="170">
        <f>IF(ISERROR(B21/SUM($B$20,$B$21,$B$22)*100),0,B21/SUM($B$20,$B$21,$B$22)*100)</f>
        <v>83.887468030690542</v>
      </c>
      <c r="D21" s="232"/>
      <c r="E21" s="16"/>
    </row>
    <row r="22" spans="1:7">
      <c r="A22" s="174" t="s">
        <v>75</v>
      </c>
      <c r="B22" s="38">
        <f>aantalw2001_hout</f>
        <v>65</v>
      </c>
      <c r="C22" s="170">
        <f>IF(ISERROR(B22/SUM($B$20,$B$21,$B$22)*100),0,B22/SUM($B$20,$B$21,$B$22)*100)</f>
        <v>8.3120204603580561</v>
      </c>
      <c r="D22" s="232"/>
      <c r="E22" s="16"/>
    </row>
    <row r="23" spans="1:7">
      <c r="A23" s="174" t="s">
        <v>76</v>
      </c>
      <c r="B23" s="38">
        <f>aantalw2001_niet_gespec</f>
        <v>94</v>
      </c>
      <c r="C23" s="169" t="s">
        <v>111</v>
      </c>
      <c r="D23" s="231"/>
      <c r="E23" s="16"/>
    </row>
    <row r="24" spans="1:7">
      <c r="A24" s="174" t="s">
        <v>77</v>
      </c>
      <c r="B24" s="38">
        <f>aantalw2001_steenkool</f>
        <v>151</v>
      </c>
      <c r="C24" s="169" t="s">
        <v>111</v>
      </c>
      <c r="D24" s="232"/>
      <c r="E24" s="16"/>
    </row>
    <row r="25" spans="1:7">
      <c r="A25" s="174" t="s">
        <v>78</v>
      </c>
      <c r="B25" s="38">
        <f>aantalw2001_stookolie</f>
        <v>3979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7348</v>
      </c>
      <c r="C28" s="37"/>
      <c r="D28" s="231"/>
    </row>
    <row r="29" spans="1:7" s="16" customFormat="1">
      <c r="A29" s="233" t="s">
        <v>666</v>
      </c>
      <c r="B29" s="38">
        <f>SUM(HH_hh_gas_aantal,HH_rest_gas_aantal)</f>
        <v>3494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3494</v>
      </c>
      <c r="C32" s="170">
        <f>IF(ISERROR(B32/SUM($B$32,$B$34,$B$35,$B$36,$B$38,$B$39)*100),0,B32/SUM($B$32,$B$34,$B$35,$B$36,$B$38,$B$39)*100)</f>
        <v>47.641123534224164</v>
      </c>
      <c r="D32" s="236"/>
      <c r="G32" s="16"/>
    </row>
    <row r="33" spans="1:7">
      <c r="A33" s="174" t="s">
        <v>72</v>
      </c>
      <c r="B33" s="35" t="s">
        <v>111</v>
      </c>
      <c r="C33" s="170"/>
      <c r="D33" s="236"/>
      <c r="G33" s="16"/>
    </row>
    <row r="34" spans="1:7">
      <c r="A34" s="174" t="s">
        <v>73</v>
      </c>
      <c r="B34" s="34">
        <f>IF((($B$28-$B$32-$B$39-$B$77-$B$38)*C20/100)&lt;0,0,($B$28-$B$32-$B$39-$B$77-$B$38)*C20/100)</f>
        <v>121.28235294117648</v>
      </c>
      <c r="C34" s="170">
        <f>IF(ISERROR(B34/SUM($B$32,$B$34,$B$35,$B$36,$B$38,$B$39)*100),0,B34/SUM($B$32,$B$34,$B$35,$B$36,$B$38,$B$39)*100)</f>
        <v>1.6536999310223135</v>
      </c>
      <c r="D34" s="236"/>
      <c r="G34" s="16"/>
    </row>
    <row r="35" spans="1:7">
      <c r="A35" s="174" t="s">
        <v>74</v>
      </c>
      <c r="B35" s="34">
        <f>IF((($B$28-$B$32-$B$39-$B$77-$B$38)*C21/100)&lt;0,0,($B$28-$B$32-$B$39-$B$77-$B$38)*C21/100)</f>
        <v>1304.2823529411767</v>
      </c>
      <c r="C35" s="170">
        <f>IF(ISERROR(B35/SUM($B$32,$B$34,$B$35,$B$36,$B$38,$B$39)*100),0,B35/SUM($B$32,$B$34,$B$35,$B$36,$B$38,$B$39)*100)</f>
        <v>17.784051717223569</v>
      </c>
      <c r="D35" s="236"/>
      <c r="G35" s="16"/>
    </row>
    <row r="36" spans="1:7">
      <c r="A36" s="174" t="s">
        <v>75</v>
      </c>
      <c r="B36" s="34">
        <f>IF((($B$28-$B$32-$B$39-$B$77-$B$38)*C22/100)&lt;0,0,($B$28-$B$32-$B$39-$B$77-$B$38)*C22/100)</f>
        <v>129.23529411764707</v>
      </c>
      <c r="C36" s="170">
        <f>IF(ISERROR(B36/SUM($B$32,$B$34,$B$35,$B$36,$B$38,$B$39)*100),0,B36/SUM($B$32,$B$34,$B$35,$B$36,$B$38,$B$39)*100)</f>
        <v>1.7621392707614818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2285.1999999999998</v>
      </c>
      <c r="C39" s="170">
        <f>IF(ISERROR(B39/SUM($B$32,$B$34,$B$35,$B$36,$B$38,$B$39)*100),0,B39/SUM($B$32,$B$34,$B$35,$B$36,$B$38,$B$39)*100)</f>
        <v>31.158985546768474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3494</v>
      </c>
      <c r="C44" s="35" t="s">
        <v>111</v>
      </c>
      <c r="D44" s="177"/>
    </row>
    <row r="45" spans="1:7">
      <c r="A45" s="174" t="s">
        <v>72</v>
      </c>
      <c r="B45" s="34" t="str">
        <f t="shared" si="0"/>
        <v>-</v>
      </c>
      <c r="C45" s="35" t="s">
        <v>111</v>
      </c>
      <c r="D45" s="177"/>
    </row>
    <row r="46" spans="1:7">
      <c r="A46" s="174" t="s">
        <v>73</v>
      </c>
      <c r="B46" s="34">
        <f t="shared" si="0"/>
        <v>121.28235294117648</v>
      </c>
      <c r="C46" s="35" t="s">
        <v>111</v>
      </c>
      <c r="D46" s="177"/>
    </row>
    <row r="47" spans="1:7">
      <c r="A47" s="174" t="s">
        <v>74</v>
      </c>
      <c r="B47" s="34">
        <f t="shared" si="0"/>
        <v>1304.2823529411767</v>
      </c>
      <c r="C47" s="35" t="s">
        <v>111</v>
      </c>
      <c r="D47" s="177"/>
    </row>
    <row r="48" spans="1:7">
      <c r="A48" s="174" t="s">
        <v>75</v>
      </c>
      <c r="B48" s="34">
        <f t="shared" si="0"/>
        <v>129.23529411764707</v>
      </c>
      <c r="C48" s="34">
        <f>B48*10</f>
        <v>1292.3529411764707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2285.1999999999998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33793.048320046844</v>
      </c>
      <c r="C5" s="18">
        <f>IF(ISERROR('Eigen informatie GS &amp; warmtenet'!B58),0,'Eigen informatie GS &amp; warmtenet'!B58)</f>
        <v>0</v>
      </c>
      <c r="D5" s="31">
        <f>SUM(D6:D12)</f>
        <v>23355.123515113919</v>
      </c>
      <c r="E5" s="18">
        <f>SUM(E6:E12)</f>
        <v>234.52396378879109</v>
      </c>
      <c r="F5" s="18">
        <f>SUM(F6:F12)</f>
        <v>6020.9063958697579</v>
      </c>
      <c r="G5" s="19"/>
      <c r="H5" s="18"/>
      <c r="I5" s="18"/>
      <c r="J5" s="18">
        <f>SUM(J6:J12)</f>
        <v>0</v>
      </c>
      <c r="K5" s="18"/>
      <c r="L5" s="18"/>
      <c r="M5" s="18"/>
      <c r="N5" s="18">
        <f>SUM(N6:N12)</f>
        <v>2545.285663564845</v>
      </c>
      <c r="O5" s="18">
        <f>B38*B39*B40</f>
        <v>1.5633333333333335</v>
      </c>
      <c r="P5" s="18">
        <f>B46*B47*B48/1000-B46*B47*B48/1000/B49</f>
        <v>76.266666666666666</v>
      </c>
      <c r="R5" s="33"/>
    </row>
    <row r="6" spans="1:18">
      <c r="A6" s="33" t="s">
        <v>54</v>
      </c>
      <c r="B6" s="38">
        <f>B26</f>
        <v>16324.0718673953</v>
      </c>
      <c r="C6" s="34"/>
      <c r="D6" s="38">
        <f>IF(ISERROR(TER_kantoor_gas_kWh/1000),0,TER_kantoor_gas_kWh/1000)*0.902</f>
        <v>3712.301621523945</v>
      </c>
      <c r="E6" s="34">
        <f>$C$26*'E Balans VL '!I12/100/3.6*1000000</f>
        <v>26.791110429520213</v>
      </c>
      <c r="F6" s="34">
        <f>$C$26*('E Balans VL '!L12+'E Balans VL '!N12)/100/3.6*1000000</f>
        <v>1924.2239886124028</v>
      </c>
      <c r="G6" s="35"/>
      <c r="H6" s="34"/>
      <c r="I6" s="34"/>
      <c r="J6" s="34">
        <f>$C$26*('E Balans VL '!D12+'E Balans VL '!E12)/100/3.6*1000000</f>
        <v>0</v>
      </c>
      <c r="K6" s="34"/>
      <c r="L6" s="34"/>
      <c r="M6" s="34"/>
      <c r="N6" s="34">
        <f>$C$26*'E Balans VL '!Y12/100/3.6*1000000</f>
        <v>3.2982014199985121</v>
      </c>
      <c r="O6" s="34"/>
      <c r="P6" s="34"/>
      <c r="R6" s="33"/>
    </row>
    <row r="7" spans="1:18">
      <c r="A7" s="33" t="s">
        <v>53</v>
      </c>
      <c r="B7" s="38">
        <f t="shared" ref="B7:B12" si="0">B27</f>
        <v>2061.7744601990798</v>
      </c>
      <c r="C7" s="34"/>
      <c r="D7" s="38">
        <f>IF(ISERROR(TER_horeca_gas_kWh/1000),0,TER_horeca_gas_kWh/1000)*0.902</f>
        <v>1825.6288892329137</v>
      </c>
      <c r="E7" s="34">
        <f>$C$27*'E Balans VL '!I9/100/3.6*1000000</f>
        <v>106.9911751650767</v>
      </c>
      <c r="F7" s="34">
        <f>$C$27*('E Balans VL '!L9+'E Balans VL '!N9)/100/3.6*1000000</f>
        <v>470.49842784839302</v>
      </c>
      <c r="G7" s="35"/>
      <c r="H7" s="34"/>
      <c r="I7" s="34"/>
      <c r="J7" s="34">
        <f>$C$27*('E Balans VL '!D9+'E Balans VL '!E9)/100/3.6*1000000</f>
        <v>0</v>
      </c>
      <c r="K7" s="34"/>
      <c r="L7" s="34"/>
      <c r="M7" s="34"/>
      <c r="N7" s="34">
        <f>$C$27*'E Balans VL '!Y9/100/3.6*1000000</f>
        <v>0.21772243814765516</v>
      </c>
      <c r="O7" s="34"/>
      <c r="P7" s="34"/>
      <c r="R7" s="33"/>
    </row>
    <row r="8" spans="1:18">
      <c r="A8" s="6" t="s">
        <v>52</v>
      </c>
      <c r="B8" s="38">
        <f t="shared" si="0"/>
        <v>6959.42580304888</v>
      </c>
      <c r="C8" s="34"/>
      <c r="D8" s="38">
        <f>IF(ISERROR(TER_handel_gas_kWh/1000),0,TER_handel_gas_kWh/1000)*0.902</f>
        <v>4443.2362161226119</v>
      </c>
      <c r="E8" s="34">
        <f>$C$28*'E Balans VL '!I13/100/3.6*1000000</f>
        <v>37.477363149184171</v>
      </c>
      <c r="F8" s="34">
        <f>$C$28*('E Balans VL '!L13+'E Balans VL '!N13)/100/3.6*1000000</f>
        <v>1419.2337367493299</v>
      </c>
      <c r="G8" s="35"/>
      <c r="H8" s="34"/>
      <c r="I8" s="34"/>
      <c r="J8" s="34">
        <f>$C$28*('E Balans VL '!D13+'E Balans VL '!E13)/100/3.6*1000000</f>
        <v>0</v>
      </c>
      <c r="K8" s="34"/>
      <c r="L8" s="34"/>
      <c r="M8" s="34"/>
      <c r="N8" s="34">
        <f>$C$28*'E Balans VL '!Y13/100/3.6*1000000</f>
        <v>34.605549351091177</v>
      </c>
      <c r="O8" s="34"/>
      <c r="P8" s="34"/>
      <c r="R8" s="33"/>
    </row>
    <row r="9" spans="1:18">
      <c r="A9" s="33" t="s">
        <v>51</v>
      </c>
      <c r="B9" s="38">
        <f t="shared" si="0"/>
        <v>885.40995502156693</v>
      </c>
      <c r="C9" s="34"/>
      <c r="D9" s="38">
        <f>IF(ISERROR(TER_gezond_gas_kWh/1000),0,TER_gezond_gas_kWh/1000)*0.902</f>
        <v>488.00434662280202</v>
      </c>
      <c r="E9" s="34">
        <f>$C$29*'E Balans VL '!I10/100/3.6*1000000</f>
        <v>0.87745133426671029</v>
      </c>
      <c r="F9" s="34">
        <f>$C$29*('E Balans VL '!L10+'E Balans VL '!N10)/100/3.6*1000000</f>
        <v>307.2117334296255</v>
      </c>
      <c r="G9" s="35"/>
      <c r="H9" s="34"/>
      <c r="I9" s="34"/>
      <c r="J9" s="34">
        <f>$C$29*('E Balans VL '!D10+'E Balans VL '!E10)/100/3.6*1000000</f>
        <v>0</v>
      </c>
      <c r="K9" s="34"/>
      <c r="L9" s="34"/>
      <c r="M9" s="34"/>
      <c r="N9" s="34">
        <f>$C$29*'E Balans VL '!Y10/100/3.6*1000000</f>
        <v>7.6295008797241737</v>
      </c>
      <c r="O9" s="34"/>
      <c r="P9" s="34"/>
      <c r="R9" s="33"/>
    </row>
    <row r="10" spans="1:18">
      <c r="A10" s="33" t="s">
        <v>50</v>
      </c>
      <c r="B10" s="38">
        <f t="shared" si="0"/>
        <v>3934.8271433944301</v>
      </c>
      <c r="C10" s="34"/>
      <c r="D10" s="38">
        <f>IF(ISERROR(TER_ander_gas_kWh/1000),0,TER_ander_gas_kWh/1000)*0.902</f>
        <v>7972.050035565635</v>
      </c>
      <c r="E10" s="34">
        <f>$C$30*'E Balans VL '!I14/100/3.6*1000000</f>
        <v>32.190818612626444</v>
      </c>
      <c r="F10" s="34">
        <f>$C$30*('E Balans VL '!L14+'E Balans VL '!N14)/100/3.6*1000000</f>
        <v>1150.3832632808721</v>
      </c>
      <c r="G10" s="35"/>
      <c r="H10" s="34"/>
      <c r="I10" s="34"/>
      <c r="J10" s="34">
        <f>$C$30*('E Balans VL '!D14+'E Balans VL '!E14)/100/3.6*1000000</f>
        <v>0</v>
      </c>
      <c r="K10" s="34"/>
      <c r="L10" s="34"/>
      <c r="M10" s="34"/>
      <c r="N10" s="34">
        <f>$C$30*'E Balans VL '!Y14/100/3.6*1000000</f>
        <v>2269.8789687934955</v>
      </c>
      <c r="O10" s="34"/>
      <c r="P10" s="34"/>
      <c r="R10" s="33"/>
    </row>
    <row r="11" spans="1:18">
      <c r="A11" s="33" t="s">
        <v>55</v>
      </c>
      <c r="B11" s="38">
        <f t="shared" si="0"/>
        <v>142.96248343528498</v>
      </c>
      <c r="C11" s="34"/>
      <c r="D11" s="38">
        <f>IF(ISERROR(TER_onderwijs_gas_kWh/1000),0,TER_onderwijs_gas_kWh/1000)*0.902</f>
        <v>413.33840126039109</v>
      </c>
      <c r="E11" s="34">
        <f>$C$31*'E Balans VL '!I11/100/3.6*1000000</f>
        <v>8.8116042603447117E-2</v>
      </c>
      <c r="F11" s="34">
        <f>$C$31*('E Balans VL '!L11+'E Balans VL '!N11)/100/3.6*1000000</f>
        <v>55.271611326224807</v>
      </c>
      <c r="G11" s="35"/>
      <c r="H11" s="34"/>
      <c r="I11" s="34"/>
      <c r="J11" s="34">
        <f>$C$31*('E Balans VL '!D11+'E Balans VL '!E11)/100/3.6*1000000</f>
        <v>0</v>
      </c>
      <c r="K11" s="34"/>
      <c r="L11" s="34"/>
      <c r="M11" s="34"/>
      <c r="N11" s="34">
        <f>$C$31*'E Balans VL '!Y11/100/3.6*1000000</f>
        <v>0.46502632240890901</v>
      </c>
      <c r="O11" s="34"/>
      <c r="P11" s="34"/>
      <c r="R11" s="33"/>
    </row>
    <row r="12" spans="1:18">
      <c r="A12" s="33" t="s">
        <v>260</v>
      </c>
      <c r="B12" s="38">
        <f t="shared" si="0"/>
        <v>3484.5766075523002</v>
      </c>
      <c r="C12" s="34"/>
      <c r="D12" s="38">
        <f>IF(ISERROR(TER_rest_gas_kWh/1000),0,TER_rest_gas_kWh/1000)*0.902</f>
        <v>4500.5640047856205</v>
      </c>
      <c r="E12" s="34">
        <f>$C$32*'E Balans VL '!I8/100/3.6*1000000</f>
        <v>30.107929055513367</v>
      </c>
      <c r="F12" s="34">
        <f>$C$32*('E Balans VL '!L8+'E Balans VL '!N8)/100/3.6*1000000</f>
        <v>694.08363462290924</v>
      </c>
      <c r="G12" s="35"/>
      <c r="H12" s="34"/>
      <c r="I12" s="34"/>
      <c r="J12" s="34">
        <f>$C$32*('E Balans VL '!D8+'E Balans VL '!E8)/100/3.6*1000000</f>
        <v>0</v>
      </c>
      <c r="K12" s="34"/>
      <c r="L12" s="34"/>
      <c r="M12" s="34"/>
      <c r="N12" s="34">
        <f>$C$32*'E Balans VL '!Y8/100/3.6*1000000</f>
        <v>229.1906943599794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33793.048320046844</v>
      </c>
      <c r="C16" s="22">
        <f t="shared" ca="1" si="1"/>
        <v>0</v>
      </c>
      <c r="D16" s="22">
        <f t="shared" ca="1" si="1"/>
        <v>23355.123515113919</v>
      </c>
      <c r="E16" s="22">
        <f t="shared" si="1"/>
        <v>234.52396378879109</v>
      </c>
      <c r="F16" s="22">
        <f t="shared" ca="1" si="1"/>
        <v>6020.9063958697579</v>
      </c>
      <c r="G16" s="22">
        <f t="shared" si="1"/>
        <v>0</v>
      </c>
      <c r="H16" s="22">
        <f t="shared" si="1"/>
        <v>0</v>
      </c>
      <c r="I16" s="22">
        <f t="shared" si="1"/>
        <v>0</v>
      </c>
      <c r="J16" s="22">
        <f t="shared" si="1"/>
        <v>0</v>
      </c>
      <c r="K16" s="22">
        <f t="shared" si="1"/>
        <v>0</v>
      </c>
      <c r="L16" s="22">
        <f t="shared" ca="1" si="1"/>
        <v>0</v>
      </c>
      <c r="M16" s="22">
        <f t="shared" si="1"/>
        <v>0</v>
      </c>
      <c r="N16" s="22">
        <f t="shared" ca="1" si="1"/>
        <v>2545.285663564845</v>
      </c>
      <c r="O16" s="22">
        <f>O5</f>
        <v>1.5633333333333335</v>
      </c>
      <c r="P16" s="22">
        <f>P5</f>
        <v>76.266666666666666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0.21096283607275132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7129.0773131406067</v>
      </c>
      <c r="C20" s="24">
        <f t="shared" ref="C20:P20" ca="1" si="2">C16*C18</f>
        <v>0</v>
      </c>
      <c r="D20" s="24">
        <f t="shared" ca="1" si="2"/>
        <v>4717.7349500530117</v>
      </c>
      <c r="E20" s="24">
        <f t="shared" si="2"/>
        <v>53.236939780055579</v>
      </c>
      <c r="F20" s="24">
        <f t="shared" ca="1" si="2"/>
        <v>1607.5820076972254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16324.0718673953</v>
      </c>
      <c r="C26" s="40">
        <f>IF(ISERROR(B26*3.6/1000000/'E Balans VL '!Z12*100),0,B26*3.6/1000000/'E Balans VL '!Z12*100)</f>
        <v>0.34687482068345443</v>
      </c>
      <c r="D26" s="240" t="s">
        <v>707</v>
      </c>
      <c r="F26" s="6"/>
    </row>
    <row r="27" spans="1:18">
      <c r="A27" s="234" t="s">
        <v>53</v>
      </c>
      <c r="B27" s="34">
        <f>IF(ISERROR(TER_horeca_ele_kWh/1000),0,TER_horeca_ele_kWh/1000)</f>
        <v>2061.7744601990798</v>
      </c>
      <c r="C27" s="40">
        <f>IF(ISERROR(B27*3.6/1000000/'E Balans VL '!Z9*100),0,B27*3.6/1000000/'E Balans VL '!Z9*100)</f>
        <v>0.16227759365042621</v>
      </c>
      <c r="D27" s="240" t="s">
        <v>707</v>
      </c>
      <c r="F27" s="6"/>
    </row>
    <row r="28" spans="1:18">
      <c r="A28" s="174" t="s">
        <v>52</v>
      </c>
      <c r="B28" s="34">
        <f>IF(ISERROR(TER_handel_ele_kWh/1000),0,TER_handel_ele_kWh/1000)</f>
        <v>6959.42580304888</v>
      </c>
      <c r="C28" s="40">
        <f>IF(ISERROR(B28*3.6/1000000/'E Balans VL '!Z13*100),0,B28*3.6/1000000/'E Balans VL '!Z13*100)</f>
        <v>0.19493724128104525</v>
      </c>
      <c r="D28" s="240" t="s">
        <v>707</v>
      </c>
      <c r="F28" s="6"/>
    </row>
    <row r="29" spans="1:18">
      <c r="A29" s="234" t="s">
        <v>51</v>
      </c>
      <c r="B29" s="34">
        <f>IF(ISERROR(TER_gezond_ele_kWh/1000),0,TER_gezond_ele_kWh/1000)</f>
        <v>885.40995502156693</v>
      </c>
      <c r="C29" s="40">
        <f>IF(ISERROR(B29*3.6/1000000/'E Balans VL '!Z10*100),0,B29*3.6/1000000/'E Balans VL '!Z10*100)</f>
        <v>0.11327070696600303</v>
      </c>
      <c r="D29" s="240" t="s">
        <v>707</v>
      </c>
      <c r="F29" s="6"/>
    </row>
    <row r="30" spans="1:18">
      <c r="A30" s="234" t="s">
        <v>50</v>
      </c>
      <c r="B30" s="34">
        <f>IF(ISERROR(TER_ander_ele_kWh/1000),0,TER_ander_ele_kWh/1000)</f>
        <v>3934.8271433944301</v>
      </c>
      <c r="C30" s="40">
        <f>IF(ISERROR(B30*3.6/1000000/'E Balans VL '!Z14*100),0,B30*3.6/1000000/'E Balans VL '!Z14*100)</f>
        <v>0.29429191489320422</v>
      </c>
      <c r="D30" s="240" t="s">
        <v>707</v>
      </c>
      <c r="F30" s="6"/>
    </row>
    <row r="31" spans="1:18">
      <c r="A31" s="234" t="s">
        <v>55</v>
      </c>
      <c r="B31" s="34">
        <f>IF(ISERROR(TER_onderwijs_ele_kWh/1000),0,TER_onderwijs_ele_kWh/1000)</f>
        <v>142.96248343528498</v>
      </c>
      <c r="C31" s="40">
        <f>IF(ISERROR(B31*3.6/1000000/'E Balans VL '!Z11*100),0,B31*3.6/1000000/'E Balans VL '!Z11*100)</f>
        <v>3.018671356111061E-2</v>
      </c>
      <c r="D31" s="240" t="s">
        <v>707</v>
      </c>
    </row>
    <row r="32" spans="1:18">
      <c r="A32" s="234" t="s">
        <v>260</v>
      </c>
      <c r="B32" s="34">
        <f>IF(ISERROR(TER_rest_ele_kWh/1000),0,TER_rest_ele_kWh/1000)</f>
        <v>3484.5766075523002</v>
      </c>
      <c r="C32" s="40">
        <f>IF(ISERROR(B32*3.6/1000000/'E Balans VL '!Z8*100),0,B32*3.6/1000000/'E Balans VL '!Z8*100)</f>
        <v>2.8705705369836059E-2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4</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27411.898612519697</v>
      </c>
      <c r="C5" s="18">
        <f>IF(ISERROR('Eigen informatie GS &amp; warmtenet'!B59),0,'Eigen informatie GS &amp; warmtenet'!B59)</f>
        <v>0</v>
      </c>
      <c r="D5" s="31">
        <f>SUM(D6:D15)</f>
        <v>39405.275058497034</v>
      </c>
      <c r="E5" s="18">
        <f>SUM(E6:E15)</f>
        <v>267.82578346889505</v>
      </c>
      <c r="F5" s="18">
        <f>SUM(F6:F15)</f>
        <v>4227.6984766752012</v>
      </c>
      <c r="G5" s="19"/>
      <c r="H5" s="18"/>
      <c r="I5" s="18"/>
      <c r="J5" s="18">
        <f>SUM(J6:J15)</f>
        <v>38.926815670609756</v>
      </c>
      <c r="K5" s="18"/>
      <c r="L5" s="18"/>
      <c r="M5" s="18"/>
      <c r="N5" s="18">
        <f>SUM(N6:N15)</f>
        <v>512.13923925411086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1125.32070727102</v>
      </c>
      <c r="C8" s="34"/>
      <c r="D8" s="38">
        <f>IF( ISERROR(IND_metaal_Gas_kWH/1000),0,IND_metaal_Gas_kWH/1000)*0.902</f>
        <v>94.688777321399471</v>
      </c>
      <c r="E8" s="34">
        <f>C30*'E Balans VL '!I18/100/3.6*1000000</f>
        <v>10.248092884423031</v>
      </c>
      <c r="F8" s="34">
        <f>C30*'E Balans VL '!L18/100/3.6*1000000+C30*'E Balans VL '!N18/100/3.6*1000000</f>
        <v>148.42125545681725</v>
      </c>
      <c r="G8" s="35"/>
      <c r="H8" s="34"/>
      <c r="I8" s="34"/>
      <c r="J8" s="41">
        <f>C30*'E Balans VL '!D18/100/3.6*1000000+C30*'E Balans VL '!E18/100/3.6*1000000</f>
        <v>18.453625692412995</v>
      </c>
      <c r="K8" s="34"/>
      <c r="L8" s="34"/>
      <c r="M8" s="34"/>
      <c r="N8" s="34">
        <f>C30*'E Balans VL '!Y18/100/3.6*1000000</f>
        <v>3.867280238386257</v>
      </c>
      <c r="O8" s="34"/>
      <c r="P8" s="34"/>
      <c r="R8" s="33"/>
    </row>
    <row r="9" spans="1:18">
      <c r="A9" s="6" t="s">
        <v>33</v>
      </c>
      <c r="B9" s="38">
        <f t="shared" si="0"/>
        <v>1155.0856620028799</v>
      </c>
      <c r="C9" s="34"/>
      <c r="D9" s="38">
        <f>IF( ISERROR(IND_andere_gas_kWh/1000),0,IND_andere_gas_kWh/1000)*0.902</f>
        <v>619.52955429864653</v>
      </c>
      <c r="E9" s="34">
        <f>C31*'E Balans VL '!I19/100/3.6*1000000</f>
        <v>6.6765677396514729</v>
      </c>
      <c r="F9" s="34">
        <f>C31*'E Balans VL '!L19/100/3.6*1000000+C31*'E Balans VL '!N19/100/3.6*1000000</f>
        <v>918.92622464594444</v>
      </c>
      <c r="G9" s="35"/>
      <c r="H9" s="34"/>
      <c r="I9" s="34"/>
      <c r="J9" s="41">
        <f>C31*'E Balans VL '!D19/100/3.6*1000000+C31*'E Balans VL '!E19/100/3.6*1000000</f>
        <v>0.10925827329734253</v>
      </c>
      <c r="K9" s="34"/>
      <c r="L9" s="34"/>
      <c r="M9" s="34"/>
      <c r="N9" s="34">
        <f>C31*'E Balans VL '!Y19/100/3.6*1000000</f>
        <v>87.515219162941875</v>
      </c>
      <c r="O9" s="34"/>
      <c r="P9" s="34"/>
      <c r="R9" s="33"/>
    </row>
    <row r="10" spans="1:18">
      <c r="A10" s="6" t="s">
        <v>41</v>
      </c>
      <c r="B10" s="38">
        <f t="shared" si="0"/>
        <v>21234.432170243901</v>
      </c>
      <c r="C10" s="34"/>
      <c r="D10" s="38">
        <f>IF( ISERROR(IND_voed_gas_kWh/1000),0,IND_voed_gas_kWh/1000)*0.902</f>
        <v>8580.164231321196</v>
      </c>
      <c r="E10" s="34">
        <f>C32*'E Balans VL '!I20/100/3.6*1000000</f>
        <v>208.79002072113687</v>
      </c>
      <c r="F10" s="34">
        <f>C32*'E Balans VL '!L20/100/3.6*1000000+C32*'E Balans VL '!N20/100/3.6*1000000</f>
        <v>2358.3608579975607</v>
      </c>
      <c r="G10" s="35"/>
      <c r="H10" s="34"/>
      <c r="I10" s="34"/>
      <c r="J10" s="41">
        <f>C32*'E Balans VL '!D20/100/3.6*1000000+C32*'E Balans VL '!E20/100/3.6*1000000</f>
        <v>8.3694537035084407E-2</v>
      </c>
      <c r="K10" s="34"/>
      <c r="L10" s="34"/>
      <c r="M10" s="34"/>
      <c r="N10" s="34">
        <f>C32*'E Balans VL '!Y20/100/3.6*1000000</f>
        <v>314.43199179187417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433.41600463965597</v>
      </c>
      <c r="C12" s="34"/>
      <c r="D12" s="38">
        <f>IF( ISERROR(IND_min_gas_kWh/1000),0,IND_min_gas_kWh/1000)*0.902</f>
        <v>0</v>
      </c>
      <c r="E12" s="34">
        <f>C34*'E Balans VL '!I22/100/3.6*1000000</f>
        <v>10.987866979262208</v>
      </c>
      <c r="F12" s="34">
        <f>C34*'E Balans VL '!L22/100/3.6*1000000+C34*'E Balans VL '!N22/100/3.6*1000000</f>
        <v>119.92771919440436</v>
      </c>
      <c r="G12" s="35"/>
      <c r="H12" s="34"/>
      <c r="I12" s="34"/>
      <c r="J12" s="41">
        <f>C34*'E Balans VL '!D22/100/3.6*1000000+C34*'E Balans VL '!E22/100/3.6*1000000</f>
        <v>2.8623663899885581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3463.6440683622404</v>
      </c>
      <c r="C15" s="34"/>
      <c r="D15" s="38">
        <f>IF( ISERROR(IND_rest_gas_kWh/1000),0,IND_rest_gas_kWh/1000)*0.902</f>
        <v>30110.892495555792</v>
      </c>
      <c r="E15" s="34">
        <f>C37*'E Balans VL '!I15/100/3.6*1000000</f>
        <v>31.123235144421493</v>
      </c>
      <c r="F15" s="34">
        <f>C37*'E Balans VL '!L15/100/3.6*1000000+C37*'E Balans VL '!N15/100/3.6*1000000</f>
        <v>682.06241938047481</v>
      </c>
      <c r="G15" s="35"/>
      <c r="H15" s="34"/>
      <c r="I15" s="34"/>
      <c r="J15" s="41">
        <f>C37*'E Balans VL '!D15/100/3.6*1000000+C37*'E Balans VL '!E15/100/3.6*1000000</f>
        <v>17.41787077787577</v>
      </c>
      <c r="K15" s="34"/>
      <c r="L15" s="34"/>
      <c r="M15" s="34"/>
      <c r="N15" s="34">
        <f>C37*'E Balans VL '!Y15/100/3.6*1000000</f>
        <v>106.32474806090863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27411.898612519697</v>
      </c>
      <c r="C18" s="22">
        <f>C5+C16</f>
        <v>0</v>
      </c>
      <c r="D18" s="22">
        <f>MAX((D5+D16),0)</f>
        <v>39405.275058497034</v>
      </c>
      <c r="E18" s="22">
        <f>MAX((E5+E16),0)</f>
        <v>267.82578346889505</v>
      </c>
      <c r="F18" s="22">
        <f>MAX((F5+F16),0)</f>
        <v>4227.6984766752012</v>
      </c>
      <c r="G18" s="22"/>
      <c r="H18" s="22"/>
      <c r="I18" s="22"/>
      <c r="J18" s="22">
        <f>MAX((J5+J16),0)</f>
        <v>38.926815670609756</v>
      </c>
      <c r="K18" s="22"/>
      <c r="L18" s="22">
        <f>MAX((L5+L16),0)</f>
        <v>0</v>
      </c>
      <c r="M18" s="22"/>
      <c r="N18" s="22">
        <f>MAX((N5+N16),0)</f>
        <v>512.13923925411086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0.21096283607275132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5782.8918734358722</v>
      </c>
      <c r="C22" s="24">
        <f ca="1">C18*C20</f>
        <v>0</v>
      </c>
      <c r="D22" s="24">
        <f>D18*D20</f>
        <v>7959.8655618164012</v>
      </c>
      <c r="E22" s="24">
        <f>E18*E20</f>
        <v>60.796452847439177</v>
      </c>
      <c r="F22" s="24">
        <f>F18*F20</f>
        <v>1128.7954932722787</v>
      </c>
      <c r="G22" s="24"/>
      <c r="H22" s="24"/>
      <c r="I22" s="24"/>
      <c r="J22" s="24">
        <f>J18*J20</f>
        <v>13.780092747395853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1125.32070727102</v>
      </c>
      <c r="C30" s="40">
        <f>IF(ISERROR(B30*3.6/1000000/'E Balans VL '!Z18*100),0,B30*3.6/1000000/'E Balans VL '!Z18*100)</f>
        <v>6.2616572404624898E-2</v>
      </c>
      <c r="D30" s="240" t="s">
        <v>707</v>
      </c>
    </row>
    <row r="31" spans="1:18">
      <c r="A31" s="6" t="s">
        <v>33</v>
      </c>
      <c r="B31" s="38">
        <f>IF( ISERROR(IND_ander_ele_kWh/1000),0,IND_ander_ele_kWh/1000)</f>
        <v>1155.0856620028799</v>
      </c>
      <c r="C31" s="40">
        <f>IF(ISERROR(B31*3.6/1000000/'E Balans VL '!Z19*100),0,B31*3.6/1000000/'E Balans VL '!Z19*100)</f>
        <v>5.3696898821902136E-2</v>
      </c>
      <c r="D31" s="240" t="s">
        <v>707</v>
      </c>
    </row>
    <row r="32" spans="1:18">
      <c r="A32" s="174" t="s">
        <v>41</v>
      </c>
      <c r="B32" s="38">
        <f>IF( ISERROR(IND_voed_ele_kWh/1000),0,IND_voed_ele_kWh/1000)</f>
        <v>21234.432170243901</v>
      </c>
      <c r="C32" s="40">
        <f>IF(ISERROR(B32*3.6/1000000/'E Balans VL '!Z20*100),0,B32*3.6/1000000/'E Balans VL '!Z20*100)</f>
        <v>0.75059429246616616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433.41600463965597</v>
      </c>
      <c r="C34" s="40">
        <f>IF(ISERROR(B34*3.6/1000000/'E Balans VL '!Z22*100),0,B34*3.6/1000000/'E Balans VL '!Z22*100)</f>
        <v>8.7104395014146532E-2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3463.6440683622404</v>
      </c>
      <c r="C37" s="40">
        <f>IF(ISERROR(B37*3.6/1000000/'E Balans VL '!Z15*100),0,B37*3.6/1000000/'E Balans VL '!Z15*100)</f>
        <v>2.6155629292126763E-2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3090.5827810198498</v>
      </c>
      <c r="C5" s="18">
        <f>'Eigen informatie GS &amp; warmtenet'!B60</f>
        <v>0</v>
      </c>
      <c r="D5" s="31">
        <f>IF(ISERROR(SUM(LB_lb_gas_kWh,LB_rest_gas_kWh,onbekend_gas_kWh)/1000),0,SUM(LB_lb_gas_kWh,LB_rest_gas_kWh,onbekend_gas_kWh)/1000)*0.902</f>
        <v>3964.8401594495976</v>
      </c>
      <c r="E5" s="18">
        <f>B17*'E Balans VL '!I25/3.6*1000000/100</f>
        <v>29.115360555597562</v>
      </c>
      <c r="F5" s="18">
        <f>B17*('E Balans VL '!L25/3.6*1000000+'E Balans VL '!N25/3.6*1000000)/100</f>
        <v>10085.597288814724</v>
      </c>
      <c r="G5" s="19"/>
      <c r="H5" s="18"/>
      <c r="I5" s="18"/>
      <c r="J5" s="18">
        <f>('E Balans VL '!D25+'E Balans VL '!E25)/3.6*1000000*landbouw!B17/100</f>
        <v>382.32012260391474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3090.5827810198498</v>
      </c>
      <c r="C8" s="22">
        <f>C5+C6</f>
        <v>0</v>
      </c>
      <c r="D8" s="22">
        <f>MAX((D5+D6),0)</f>
        <v>3964.8401594495976</v>
      </c>
      <c r="E8" s="22">
        <f>MAX((E5+E6),0)</f>
        <v>29.115360555597562</v>
      </c>
      <c r="F8" s="22">
        <f>MAX((F5+F6),0)</f>
        <v>10085.597288814724</v>
      </c>
      <c r="G8" s="22"/>
      <c r="H8" s="22"/>
      <c r="I8" s="22"/>
      <c r="J8" s="22">
        <f>MAX((J5+J6),0)</f>
        <v>382.32012260391474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0.21096283607275132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651.99810860155844</v>
      </c>
      <c r="C12" s="24">
        <f ca="1">C8*C10</f>
        <v>0</v>
      </c>
      <c r="D12" s="24">
        <f>D8*D10</f>
        <v>800.8977122088188</v>
      </c>
      <c r="E12" s="24">
        <f>E8*E10</f>
        <v>6.6091868461206467</v>
      </c>
      <c r="F12" s="24">
        <f>F8*F10</f>
        <v>2692.8544761135317</v>
      </c>
      <c r="G12" s="24"/>
      <c r="H12" s="24"/>
      <c r="I12" s="24"/>
      <c r="J12" s="24">
        <f>J8*J10</f>
        <v>135.34132340178581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0.41841552261596565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232.63794432301762</v>
      </c>
      <c r="C26" s="250">
        <f>B26*'GWP N2O_CH4'!B5</f>
        <v>4885.3968307833702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64.232703844839506</v>
      </c>
      <c r="C27" s="250">
        <f>B27*'GWP N2O_CH4'!B5</f>
        <v>1348.8867807416295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2.8932897478634554</v>
      </c>
      <c r="C28" s="250">
        <f>B28*'GWP N2O_CH4'!B4</f>
        <v>896.91982183767118</v>
      </c>
      <c r="D28" s="51"/>
    </row>
    <row r="29" spans="1:4">
      <c r="A29" s="42" t="s">
        <v>277</v>
      </c>
      <c r="B29" s="250">
        <f>B34*'ha_N2O bodem landbouw'!B4</f>
        <v>10.606046614512119</v>
      </c>
      <c r="C29" s="250">
        <f>B29*'GWP N2O_CH4'!B4</f>
        <v>3287.8744504987567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2.8632987047407473E-3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9.9627271031854749E-6</v>
      </c>
      <c r="C5" s="447" t="s">
        <v>211</v>
      </c>
      <c r="D5" s="432">
        <f>SUM(D6:D11)</f>
        <v>3.412267868881045E-5</v>
      </c>
      <c r="E5" s="432">
        <f>SUM(E6:E11)</f>
        <v>2.0450005194640694E-3</v>
      </c>
      <c r="F5" s="445" t="s">
        <v>211</v>
      </c>
      <c r="G5" s="432">
        <f>SUM(G6:G11)</f>
        <v>0.37034623545069006</v>
      </c>
      <c r="H5" s="432">
        <f>SUM(H6:H11)</f>
        <v>7.5704971171284052E-2</v>
      </c>
      <c r="I5" s="447" t="s">
        <v>211</v>
      </c>
      <c r="J5" s="447" t="s">
        <v>211</v>
      </c>
      <c r="K5" s="447" t="s">
        <v>211</v>
      </c>
      <c r="L5" s="447" t="s">
        <v>211</v>
      </c>
      <c r="M5" s="432">
        <f>SUM(M6:M11)</f>
        <v>1.9954576595086128E-2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1.6741991052853445E-6</v>
      </c>
      <c r="C6" s="433"/>
      <c r="D6" s="433">
        <f>vkm_2011_GW_PW*SUMIFS(TableVerdeelsleutelVkm[CNG],TableVerdeelsleutelVkm[Voertuigtype],"Lichte voertuigen")*SUMIFS(TableECFTransport[EnergieConsumptieFactor (PJ per km)],TableECFTransport[Index],CONCATENATE($A6,"_CNG_CNG"))</f>
        <v>4.0884222530974425E-6</v>
      </c>
      <c r="E6" s="435">
        <f>vkm_2011_GW_PW*SUMIFS(TableVerdeelsleutelVkm[LPG],TableVerdeelsleutelVkm[Voertuigtype],"Lichte voertuigen")*SUMIFS(TableECFTransport[EnergieConsumptieFactor (PJ per km)],TableECFTransport[Index],CONCATENATE($A6,"_LPG_LPG"))</f>
        <v>2.4234054276561261E-4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3.5033176224021877E-2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9.1811890038072923E-3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1.9800007006499261E-3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3.4028825957477414E-3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1.3729304601430365E-6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1.5159736679605873E-4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4.9008238998529852E-6</v>
      </c>
      <c r="C8" s="433"/>
      <c r="D8" s="435">
        <f>vkm_2011_NGW_PW*SUMIFS(TableVerdeelsleutelVkm[CNG],TableVerdeelsleutelVkm[Voertuigtype],"Lichte voertuigen")*SUMIFS(TableECFTransport[EnergieConsumptieFactor (PJ per km)],TableECFTransport[Index],CONCATENATE($A8,"_CNG_CNG"))</f>
        <v>2.1472435262578537E-5</v>
      </c>
      <c r="E8" s="435">
        <f>vkm_2011_NGW_PW*SUMIFS(TableVerdeelsleutelVkm[LPG],TableVerdeelsleutelVkm[Voertuigtype],"Lichte voertuigen")*SUMIFS(TableECFTransport[EnergieConsumptieFactor (PJ per km)],TableECFTransport[Index],CONCATENATE($A8,"_LPG_LPG"))</f>
        <v>1.1676434242981564E-3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0.15945960194010861</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4.6175045935907738E-2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9.2128916228959648E-3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3.3846576924856729E-2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1.1890022496059262E-5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1.5077737678380382E-3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3.3877040980471455E-6</v>
      </c>
      <c r="C10" s="433"/>
      <c r="D10" s="435">
        <f>vkm_2011_SW_PW*SUMIFS(TableVerdeelsleutelVkm[CNG],TableVerdeelsleutelVkm[Voertuigtype],"Lichte voertuigen")*SUMIFS(TableECFTransport[EnergieConsumptieFactor (PJ per km)],TableECFTransport[Index],CONCATENATE($A10,"_CNG_CNG"))</f>
        <v>8.5618211731344686E-6</v>
      </c>
      <c r="E10" s="435">
        <f>vkm_2011_SW_PW*SUMIFS(TableVerdeelsleutelVkm[LPG],TableVerdeelsleutelVkm[Voertuigtype],"Lichte voertuigen")*SUMIFS(TableECFTransport[EnergieConsumptieFactor (PJ per km)],TableECFTransport[Index],CONCATENATE($A10,"_LPG_LPG"))</f>
        <v>6.3501655240030049E-4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8.3659879109954469E-2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2.0311954371994269E-2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4.6545078537876183E-3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5.4944118656000608E-2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2.3518906618560696E-5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2.4478052831185212E-3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2.7674241953292986</v>
      </c>
      <c r="C14" s="22"/>
      <c r="D14" s="22">
        <f t="shared" ref="D14:M14" si="0">((D5)*10^9/3600)+D12</f>
        <v>9.4785218580029014</v>
      </c>
      <c r="E14" s="22">
        <f t="shared" si="0"/>
        <v>568.05569985113038</v>
      </c>
      <c r="F14" s="22"/>
      <c r="G14" s="22">
        <f t="shared" si="0"/>
        <v>102873.95429185836</v>
      </c>
      <c r="H14" s="22">
        <f t="shared" si="0"/>
        <v>21029.158658690012</v>
      </c>
      <c r="I14" s="22"/>
      <c r="J14" s="22"/>
      <c r="K14" s="22"/>
      <c r="L14" s="22"/>
      <c r="M14" s="22">
        <f t="shared" si="0"/>
        <v>5542.9379430794797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0.21096283607275132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0.58382365686302051</v>
      </c>
      <c r="C18" s="24"/>
      <c r="D18" s="24">
        <f t="shared" ref="D18:M18" si="1">D14*D16</f>
        <v>1.9146614153165862</v>
      </c>
      <c r="E18" s="24">
        <f t="shared" si="1"/>
        <v>128.9486438662066</v>
      </c>
      <c r="F18" s="24"/>
      <c r="G18" s="24">
        <f t="shared" si="1"/>
        <v>27467.345795926183</v>
      </c>
      <c r="H18" s="24">
        <f t="shared" si="1"/>
        <v>5236.260506013813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9.085875900945754E-3</v>
      </c>
      <c r="H50" s="323">
        <f t="shared" si="2"/>
        <v>0</v>
      </c>
      <c r="I50" s="323">
        <f t="shared" si="2"/>
        <v>0</v>
      </c>
      <c r="J50" s="323">
        <f t="shared" si="2"/>
        <v>0</v>
      </c>
      <c r="K50" s="323">
        <f t="shared" si="2"/>
        <v>0</v>
      </c>
      <c r="L50" s="323">
        <f t="shared" si="2"/>
        <v>0</v>
      </c>
      <c r="M50" s="323">
        <f t="shared" si="2"/>
        <v>3.9897579890034798E-4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9.085875900945754E-3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3.9897579890034798E-4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2523.8544169293764</v>
      </c>
      <c r="H54" s="22">
        <f t="shared" si="3"/>
        <v>0</v>
      </c>
      <c r="I54" s="22">
        <f t="shared" si="3"/>
        <v>0</v>
      </c>
      <c r="J54" s="22">
        <f t="shared" si="3"/>
        <v>0</v>
      </c>
      <c r="K54" s="22">
        <f t="shared" si="3"/>
        <v>0</v>
      </c>
      <c r="L54" s="22">
        <f t="shared" si="3"/>
        <v>0</v>
      </c>
      <c r="M54" s="22">
        <f t="shared" si="3"/>
        <v>110.82661080565221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0.21096283607275132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673.86912932014354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4642.227053632595</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4642.227053632595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35125.011320046848</v>
      </c>
      <c r="D10" s="703">
        <f ca="1">tertiair!C16</f>
        <v>0</v>
      </c>
      <c r="E10" s="703">
        <f ca="1">tertiair!D16</f>
        <v>23355.123515113919</v>
      </c>
      <c r="F10" s="703">
        <f>tertiair!E16</f>
        <v>234.52396378879109</v>
      </c>
      <c r="G10" s="703">
        <f ca="1">tertiair!F16</f>
        <v>6020.9063958697579</v>
      </c>
      <c r="H10" s="703">
        <f>tertiair!G16</f>
        <v>0</v>
      </c>
      <c r="I10" s="703">
        <f>tertiair!H16</f>
        <v>0</v>
      </c>
      <c r="J10" s="703">
        <f>tertiair!I16</f>
        <v>0</v>
      </c>
      <c r="K10" s="703">
        <f>tertiair!J16</f>
        <v>0</v>
      </c>
      <c r="L10" s="703">
        <f>tertiair!K16</f>
        <v>0</v>
      </c>
      <c r="M10" s="703">
        <f ca="1">tertiair!L16</f>
        <v>0</v>
      </c>
      <c r="N10" s="703">
        <f>tertiair!M16</f>
        <v>0</v>
      </c>
      <c r="O10" s="703">
        <f ca="1">tertiair!N16</f>
        <v>2545.285663564845</v>
      </c>
      <c r="P10" s="703">
        <f>tertiair!O16</f>
        <v>1.5633333333333335</v>
      </c>
      <c r="Q10" s="704">
        <f>tertiair!P16</f>
        <v>76.266666666666666</v>
      </c>
      <c r="R10" s="706">
        <f ca="1">SUM(C10:Q10)</f>
        <v>67358.680858384163</v>
      </c>
      <c r="S10" s="68"/>
    </row>
    <row r="11" spans="1:19" s="458" customFormat="1">
      <c r="A11" s="859" t="s">
        <v>225</v>
      </c>
      <c r="B11" s="864"/>
      <c r="C11" s="703">
        <f>huishoudens!B8</f>
        <v>36583.092786307316</v>
      </c>
      <c r="D11" s="703">
        <f>huishoudens!C8</f>
        <v>0</v>
      </c>
      <c r="E11" s="703">
        <f>huishoudens!D8</f>
        <v>57392.426959996526</v>
      </c>
      <c r="F11" s="703">
        <f>huishoudens!E8</f>
        <v>2672.6300815582763</v>
      </c>
      <c r="G11" s="703">
        <f>huishoudens!F8</f>
        <v>45109.583578678656</v>
      </c>
      <c r="H11" s="703">
        <f>huishoudens!G8</f>
        <v>0</v>
      </c>
      <c r="I11" s="703">
        <f>huishoudens!H8</f>
        <v>0</v>
      </c>
      <c r="J11" s="703">
        <f>huishoudens!I8</f>
        <v>0</v>
      </c>
      <c r="K11" s="703">
        <f>huishoudens!J8</f>
        <v>0</v>
      </c>
      <c r="L11" s="703">
        <f>huishoudens!K8</f>
        <v>0</v>
      </c>
      <c r="M11" s="703">
        <f>huishoudens!L8</f>
        <v>0</v>
      </c>
      <c r="N11" s="703">
        <f>huishoudens!M8</f>
        <v>0</v>
      </c>
      <c r="O11" s="703">
        <f>huishoudens!N8</f>
        <v>9248.6258038327469</v>
      </c>
      <c r="P11" s="703">
        <f>huishoudens!O8</f>
        <v>125.06666666666666</v>
      </c>
      <c r="Q11" s="704">
        <f>huishoudens!P8</f>
        <v>266.93333333333334</v>
      </c>
      <c r="R11" s="706">
        <f>SUM(C11:Q11)</f>
        <v>151398.35921037354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27411.898612519697</v>
      </c>
      <c r="D13" s="703">
        <f>industrie!C18</f>
        <v>0</v>
      </c>
      <c r="E13" s="703">
        <f>industrie!D18</f>
        <v>39405.275058497034</v>
      </c>
      <c r="F13" s="703">
        <f>industrie!E18</f>
        <v>267.82578346889505</v>
      </c>
      <c r="G13" s="703">
        <f>industrie!F18</f>
        <v>4227.6984766752012</v>
      </c>
      <c r="H13" s="703">
        <f>industrie!G18</f>
        <v>0</v>
      </c>
      <c r="I13" s="703">
        <f>industrie!H18</f>
        <v>0</v>
      </c>
      <c r="J13" s="703">
        <f>industrie!I18</f>
        <v>0</v>
      </c>
      <c r="K13" s="703">
        <f>industrie!J18</f>
        <v>38.926815670609756</v>
      </c>
      <c r="L13" s="703">
        <f>industrie!K18</f>
        <v>0</v>
      </c>
      <c r="M13" s="703">
        <f>industrie!L18</f>
        <v>0</v>
      </c>
      <c r="N13" s="703">
        <f>industrie!M18</f>
        <v>0</v>
      </c>
      <c r="O13" s="703">
        <f>industrie!N18</f>
        <v>512.13923925411086</v>
      </c>
      <c r="P13" s="703">
        <f>industrie!O18</f>
        <v>0</v>
      </c>
      <c r="Q13" s="704">
        <f>industrie!P18</f>
        <v>0</v>
      </c>
      <c r="R13" s="706">
        <f>SUM(C13:Q13)</f>
        <v>71863.763986085556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99120.00271887386</v>
      </c>
      <c r="D15" s="708">
        <f t="shared" ref="D15:Q15" ca="1" si="0">SUM(D9:D14)</f>
        <v>0</v>
      </c>
      <c r="E15" s="708">
        <f t="shared" ca="1" si="0"/>
        <v>120152.82553360748</v>
      </c>
      <c r="F15" s="708">
        <f t="shared" si="0"/>
        <v>3174.9798288159627</v>
      </c>
      <c r="G15" s="708">
        <f t="shared" ca="1" si="0"/>
        <v>55358.188451223614</v>
      </c>
      <c r="H15" s="708">
        <f t="shared" si="0"/>
        <v>0</v>
      </c>
      <c r="I15" s="708">
        <f t="shared" si="0"/>
        <v>0</v>
      </c>
      <c r="J15" s="708">
        <f t="shared" si="0"/>
        <v>0</v>
      </c>
      <c r="K15" s="708">
        <f t="shared" si="0"/>
        <v>38.926815670609756</v>
      </c>
      <c r="L15" s="708">
        <f t="shared" si="0"/>
        <v>0</v>
      </c>
      <c r="M15" s="708">
        <f t="shared" ca="1" si="0"/>
        <v>0</v>
      </c>
      <c r="N15" s="708">
        <f t="shared" si="0"/>
        <v>0</v>
      </c>
      <c r="O15" s="708">
        <f t="shared" ca="1" si="0"/>
        <v>12306.050706651704</v>
      </c>
      <c r="P15" s="708">
        <f t="shared" si="0"/>
        <v>126.63</v>
      </c>
      <c r="Q15" s="709">
        <f t="shared" si="0"/>
        <v>343.2</v>
      </c>
      <c r="R15" s="710">
        <f ca="1">SUM(R9:R14)</f>
        <v>290620.80405484326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2523.8544169293764</v>
      </c>
      <c r="I18" s="703">
        <f>transport!H54</f>
        <v>0</v>
      </c>
      <c r="J18" s="703">
        <f>transport!I54</f>
        <v>0</v>
      </c>
      <c r="K18" s="703">
        <f>transport!J54</f>
        <v>0</v>
      </c>
      <c r="L18" s="703">
        <f>transport!K54</f>
        <v>0</v>
      </c>
      <c r="M18" s="703">
        <f>transport!L54</f>
        <v>0</v>
      </c>
      <c r="N18" s="703">
        <f>transport!M54</f>
        <v>110.82661080565221</v>
      </c>
      <c r="O18" s="703">
        <f>transport!N54</f>
        <v>0</v>
      </c>
      <c r="P18" s="703">
        <f>transport!O54</f>
        <v>0</v>
      </c>
      <c r="Q18" s="704">
        <f>transport!P54</f>
        <v>0</v>
      </c>
      <c r="R18" s="706">
        <f>SUM(C18:Q18)</f>
        <v>2634.6810277350287</v>
      </c>
      <c r="S18" s="68"/>
    </row>
    <row r="19" spans="1:19" s="458" customFormat="1" ht="15" thickBot="1">
      <c r="A19" s="859" t="s">
        <v>307</v>
      </c>
      <c r="B19" s="864"/>
      <c r="C19" s="712">
        <f>transport!B14</f>
        <v>2.7674241953292986</v>
      </c>
      <c r="D19" s="712">
        <f>transport!C14</f>
        <v>0</v>
      </c>
      <c r="E19" s="712">
        <f>transport!D14</f>
        <v>9.4785218580029014</v>
      </c>
      <c r="F19" s="712">
        <f>transport!E14</f>
        <v>568.05569985113038</v>
      </c>
      <c r="G19" s="712">
        <f>transport!F14</f>
        <v>0</v>
      </c>
      <c r="H19" s="712">
        <f>transport!G14</f>
        <v>102873.95429185836</v>
      </c>
      <c r="I19" s="712">
        <f>transport!H14</f>
        <v>21029.158658690012</v>
      </c>
      <c r="J19" s="712">
        <f>transport!I14</f>
        <v>0</v>
      </c>
      <c r="K19" s="712">
        <f>transport!J14</f>
        <v>0</v>
      </c>
      <c r="L19" s="712">
        <f>transport!K14</f>
        <v>0</v>
      </c>
      <c r="M19" s="712">
        <f>transport!L14</f>
        <v>0</v>
      </c>
      <c r="N19" s="712">
        <f>transport!M14</f>
        <v>5542.9379430794797</v>
      </c>
      <c r="O19" s="712">
        <f>transport!N14</f>
        <v>0</v>
      </c>
      <c r="P19" s="712">
        <f>transport!O14</f>
        <v>0</v>
      </c>
      <c r="Q19" s="713">
        <f>transport!P14</f>
        <v>0</v>
      </c>
      <c r="R19" s="714">
        <f>SUM(C19:Q19)</f>
        <v>130026.35253953231</v>
      </c>
      <c r="S19" s="68"/>
    </row>
    <row r="20" spans="1:19" s="458" customFormat="1" ht="15.75" thickBot="1">
      <c r="A20" s="715" t="s">
        <v>230</v>
      </c>
      <c r="B20" s="867"/>
      <c r="C20" s="862">
        <f>SUM(C17:C19)</f>
        <v>2.7674241953292986</v>
      </c>
      <c r="D20" s="716">
        <f t="shared" ref="D20:R20" si="1">SUM(D17:D19)</f>
        <v>0</v>
      </c>
      <c r="E20" s="716">
        <f t="shared" si="1"/>
        <v>9.4785218580029014</v>
      </c>
      <c r="F20" s="716">
        <f t="shared" si="1"/>
        <v>568.05569985113038</v>
      </c>
      <c r="G20" s="716">
        <f t="shared" si="1"/>
        <v>0</v>
      </c>
      <c r="H20" s="716">
        <f t="shared" si="1"/>
        <v>105397.80870878774</v>
      </c>
      <c r="I20" s="716">
        <f t="shared" si="1"/>
        <v>21029.158658690012</v>
      </c>
      <c r="J20" s="716">
        <f t="shared" si="1"/>
        <v>0</v>
      </c>
      <c r="K20" s="716">
        <f t="shared" si="1"/>
        <v>0</v>
      </c>
      <c r="L20" s="716">
        <f t="shared" si="1"/>
        <v>0</v>
      </c>
      <c r="M20" s="716">
        <f t="shared" si="1"/>
        <v>0</v>
      </c>
      <c r="N20" s="716">
        <f t="shared" si="1"/>
        <v>5653.764553885132</v>
      </c>
      <c r="O20" s="716">
        <f t="shared" si="1"/>
        <v>0</v>
      </c>
      <c r="P20" s="716">
        <f t="shared" si="1"/>
        <v>0</v>
      </c>
      <c r="Q20" s="717">
        <f t="shared" si="1"/>
        <v>0</v>
      </c>
      <c r="R20" s="718">
        <f t="shared" si="1"/>
        <v>132661.03356726732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3090.5827810198498</v>
      </c>
      <c r="D22" s="712">
        <f>+landbouw!C8</f>
        <v>0</v>
      </c>
      <c r="E22" s="712">
        <f>+landbouw!D8</f>
        <v>3964.8401594495976</v>
      </c>
      <c r="F22" s="712">
        <f>+landbouw!E8</f>
        <v>29.115360555597562</v>
      </c>
      <c r="G22" s="712">
        <f>+landbouw!F8</f>
        <v>10085.597288814724</v>
      </c>
      <c r="H22" s="712">
        <f>+landbouw!G8</f>
        <v>0</v>
      </c>
      <c r="I22" s="712">
        <f>+landbouw!H8</f>
        <v>0</v>
      </c>
      <c r="J22" s="712">
        <f>+landbouw!I8</f>
        <v>0</v>
      </c>
      <c r="K22" s="712">
        <f>+landbouw!J8</f>
        <v>382.32012260391474</v>
      </c>
      <c r="L22" s="712">
        <f>+landbouw!K8</f>
        <v>0</v>
      </c>
      <c r="M22" s="712">
        <f>+landbouw!L8</f>
        <v>0</v>
      </c>
      <c r="N22" s="712">
        <f>+landbouw!M8</f>
        <v>0</v>
      </c>
      <c r="O22" s="712">
        <f>+landbouw!N8</f>
        <v>0</v>
      </c>
      <c r="P22" s="712">
        <f>+landbouw!O8</f>
        <v>0</v>
      </c>
      <c r="Q22" s="713">
        <f>+landbouw!P8</f>
        <v>0</v>
      </c>
      <c r="R22" s="714">
        <f>SUM(C22:Q22)</f>
        <v>17552.455712443683</v>
      </c>
      <c r="S22" s="68"/>
    </row>
    <row r="23" spans="1:19" s="458" customFormat="1" ht="17.25" thickTop="1" thickBot="1">
      <c r="A23" s="719" t="s">
        <v>116</v>
      </c>
      <c r="B23" s="853"/>
      <c r="C23" s="720">
        <f ca="1">C20+C15+C22</f>
        <v>102213.35292408905</v>
      </c>
      <c r="D23" s="720">
        <f t="shared" ref="D23:Q23" ca="1" si="2">D20+D15+D22</f>
        <v>0</v>
      </c>
      <c r="E23" s="720">
        <f t="shared" ca="1" si="2"/>
        <v>124127.14421491508</v>
      </c>
      <c r="F23" s="720">
        <f t="shared" si="2"/>
        <v>3772.1508892226902</v>
      </c>
      <c r="G23" s="720">
        <f t="shared" ca="1" si="2"/>
        <v>65443.785740038336</v>
      </c>
      <c r="H23" s="720">
        <f t="shared" si="2"/>
        <v>105397.80870878774</v>
      </c>
      <c r="I23" s="720">
        <f t="shared" si="2"/>
        <v>21029.158658690012</v>
      </c>
      <c r="J23" s="720">
        <f t="shared" si="2"/>
        <v>0</v>
      </c>
      <c r="K23" s="720">
        <f t="shared" si="2"/>
        <v>421.2469382745245</v>
      </c>
      <c r="L23" s="720">
        <f t="shared" si="2"/>
        <v>0</v>
      </c>
      <c r="M23" s="720">
        <f t="shared" ca="1" si="2"/>
        <v>0</v>
      </c>
      <c r="N23" s="720">
        <f t="shared" si="2"/>
        <v>5653.764553885132</v>
      </c>
      <c r="O23" s="720">
        <f t="shared" ca="1" si="2"/>
        <v>12306.050706651704</v>
      </c>
      <c r="P23" s="720">
        <f t="shared" si="2"/>
        <v>126.63</v>
      </c>
      <c r="Q23" s="721">
        <f t="shared" si="2"/>
        <v>343.2</v>
      </c>
      <c r="R23" s="722">
        <f ca="1">R20+R15+R22</f>
        <v>440834.2933345543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7410.0720051645767</v>
      </c>
      <c r="D36" s="703">
        <f ca="1">tertiair!C20</f>
        <v>0</v>
      </c>
      <c r="E36" s="703">
        <f ca="1">tertiair!D20</f>
        <v>4717.7349500530117</v>
      </c>
      <c r="F36" s="703">
        <f>tertiair!E20</f>
        <v>53.236939780055579</v>
      </c>
      <c r="G36" s="703">
        <f ca="1">tertiair!F20</f>
        <v>1607.5820076972254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13788.625902694868</v>
      </c>
    </row>
    <row r="37" spans="1:18">
      <c r="A37" s="874" t="s">
        <v>225</v>
      </c>
      <c r="B37" s="881"/>
      <c r="C37" s="703">
        <f ca="1">huishoudens!B12</f>
        <v>7717.6730065120018</v>
      </c>
      <c r="D37" s="703">
        <f ca="1">huishoudens!C12</f>
        <v>0</v>
      </c>
      <c r="E37" s="703">
        <f>huishoudens!D12</f>
        <v>11593.270245919299</v>
      </c>
      <c r="F37" s="703">
        <f>huishoudens!E12</f>
        <v>606.68702851372871</v>
      </c>
      <c r="G37" s="703">
        <f>huishoudens!F12</f>
        <v>12044.258815507203</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31961.889096452236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5782.8918734358722</v>
      </c>
      <c r="D39" s="703">
        <f ca="1">industrie!C22</f>
        <v>0</v>
      </c>
      <c r="E39" s="703">
        <f>industrie!D22</f>
        <v>7959.8655618164012</v>
      </c>
      <c r="F39" s="703">
        <f>industrie!E22</f>
        <v>60.796452847439177</v>
      </c>
      <c r="G39" s="703">
        <f>industrie!F22</f>
        <v>1128.7954932722787</v>
      </c>
      <c r="H39" s="703">
        <f>industrie!G22</f>
        <v>0</v>
      </c>
      <c r="I39" s="703">
        <f>industrie!H22</f>
        <v>0</v>
      </c>
      <c r="J39" s="703">
        <f>industrie!I22</f>
        <v>0</v>
      </c>
      <c r="K39" s="703">
        <f>industrie!J22</f>
        <v>13.780092747395853</v>
      </c>
      <c r="L39" s="703">
        <f>industrie!K22</f>
        <v>0</v>
      </c>
      <c r="M39" s="703">
        <f>industrie!L22</f>
        <v>0</v>
      </c>
      <c r="N39" s="703">
        <f>industrie!M22</f>
        <v>0</v>
      </c>
      <c r="O39" s="703">
        <f>industrie!N22</f>
        <v>0</v>
      </c>
      <c r="P39" s="703">
        <f>industrie!O22</f>
        <v>0</v>
      </c>
      <c r="Q39" s="813">
        <f>industrie!P22</f>
        <v>0</v>
      </c>
      <c r="R39" s="907">
        <f ca="1">SUM(C39:Q39)</f>
        <v>14946.129474119387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20910.63688511245</v>
      </c>
      <c r="D41" s="748">
        <f t="shared" ref="D41:R41" ca="1" si="4">SUM(D35:D40)</f>
        <v>0</v>
      </c>
      <c r="E41" s="748">
        <f t="shared" ca="1" si="4"/>
        <v>24270.870757788711</v>
      </c>
      <c r="F41" s="748">
        <f t="shared" si="4"/>
        <v>720.72042114122337</v>
      </c>
      <c r="G41" s="748">
        <f t="shared" ca="1" si="4"/>
        <v>14780.636316476706</v>
      </c>
      <c r="H41" s="748">
        <f t="shared" si="4"/>
        <v>0</v>
      </c>
      <c r="I41" s="748">
        <f t="shared" si="4"/>
        <v>0</v>
      </c>
      <c r="J41" s="748">
        <f t="shared" si="4"/>
        <v>0</v>
      </c>
      <c r="K41" s="748">
        <f t="shared" si="4"/>
        <v>13.780092747395853</v>
      </c>
      <c r="L41" s="748">
        <f t="shared" si="4"/>
        <v>0</v>
      </c>
      <c r="M41" s="748">
        <f t="shared" ca="1" si="4"/>
        <v>0</v>
      </c>
      <c r="N41" s="748">
        <f t="shared" si="4"/>
        <v>0</v>
      </c>
      <c r="O41" s="748">
        <f t="shared" ca="1" si="4"/>
        <v>0</v>
      </c>
      <c r="P41" s="748">
        <f t="shared" si="4"/>
        <v>0</v>
      </c>
      <c r="Q41" s="749">
        <f t="shared" si="4"/>
        <v>0</v>
      </c>
      <c r="R41" s="750">
        <f t="shared" ca="1" si="4"/>
        <v>60696.64447326649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673.86912932014354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673.86912932014354</v>
      </c>
    </row>
    <row r="45" spans="1:18" ht="15" thickBot="1">
      <c r="A45" s="877" t="s">
        <v>307</v>
      </c>
      <c r="B45" s="887"/>
      <c r="C45" s="712">
        <f ca="1">transport!B18</f>
        <v>0.58382365686302051</v>
      </c>
      <c r="D45" s="712">
        <f>transport!C18</f>
        <v>0</v>
      </c>
      <c r="E45" s="712">
        <f>transport!D18</f>
        <v>1.9146614153165862</v>
      </c>
      <c r="F45" s="712">
        <f>transport!E18</f>
        <v>128.9486438662066</v>
      </c>
      <c r="G45" s="712">
        <f>transport!F18</f>
        <v>0</v>
      </c>
      <c r="H45" s="712">
        <f>transport!G18</f>
        <v>27467.345795926183</v>
      </c>
      <c r="I45" s="712">
        <f>transport!H18</f>
        <v>5236.260506013813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32835.053430878383</v>
      </c>
    </row>
    <row r="46" spans="1:18" ht="15.75" thickBot="1">
      <c r="A46" s="875" t="s">
        <v>230</v>
      </c>
      <c r="B46" s="888"/>
      <c r="C46" s="748">
        <f t="shared" ref="C46:R46" ca="1" si="5">SUM(C43:C45)</f>
        <v>0.58382365686302051</v>
      </c>
      <c r="D46" s="748">
        <f t="shared" ca="1" si="5"/>
        <v>0</v>
      </c>
      <c r="E46" s="748">
        <f t="shared" si="5"/>
        <v>1.9146614153165862</v>
      </c>
      <c r="F46" s="748">
        <f t="shared" si="5"/>
        <v>128.9486438662066</v>
      </c>
      <c r="G46" s="748">
        <f t="shared" si="5"/>
        <v>0</v>
      </c>
      <c r="H46" s="748">
        <f t="shared" si="5"/>
        <v>28141.214925246328</v>
      </c>
      <c r="I46" s="748">
        <f t="shared" si="5"/>
        <v>5236.260506013813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33508.922560198524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651.99810860155844</v>
      </c>
      <c r="D48" s="703">
        <f ca="1">+landbouw!C12</f>
        <v>0</v>
      </c>
      <c r="E48" s="703">
        <f>+landbouw!D12</f>
        <v>800.8977122088188</v>
      </c>
      <c r="F48" s="703">
        <f>+landbouw!E12</f>
        <v>6.6091868461206467</v>
      </c>
      <c r="G48" s="703">
        <f>+landbouw!F12</f>
        <v>2692.8544761135317</v>
      </c>
      <c r="H48" s="703">
        <f>+landbouw!G12</f>
        <v>0</v>
      </c>
      <c r="I48" s="703">
        <f>+landbouw!H12</f>
        <v>0</v>
      </c>
      <c r="J48" s="703">
        <f>+landbouw!I12</f>
        <v>0</v>
      </c>
      <c r="K48" s="703">
        <f>+landbouw!J12</f>
        <v>135.34132340178581</v>
      </c>
      <c r="L48" s="703">
        <f>+landbouw!K12</f>
        <v>0</v>
      </c>
      <c r="M48" s="703">
        <f>+landbouw!L12</f>
        <v>0</v>
      </c>
      <c r="N48" s="703">
        <f>+landbouw!M12</f>
        <v>0</v>
      </c>
      <c r="O48" s="703">
        <f>+landbouw!N12</f>
        <v>0</v>
      </c>
      <c r="P48" s="703">
        <f>+landbouw!O12</f>
        <v>0</v>
      </c>
      <c r="Q48" s="704">
        <f>+landbouw!P12</f>
        <v>0</v>
      </c>
      <c r="R48" s="746">
        <f ca="1">SUM(C48:Q48)</f>
        <v>4287.7008071718155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21563.218817370871</v>
      </c>
      <c r="D53" s="758">
        <f t="shared" ref="D53:Q53" ca="1" si="6">D41+D46+D48</f>
        <v>0</v>
      </c>
      <c r="E53" s="758">
        <f t="shared" ca="1" si="6"/>
        <v>25073.683131412847</v>
      </c>
      <c r="F53" s="758">
        <f t="shared" si="6"/>
        <v>856.27825185355061</v>
      </c>
      <c r="G53" s="758">
        <f t="shared" ca="1" si="6"/>
        <v>17473.490792590237</v>
      </c>
      <c r="H53" s="758">
        <f t="shared" si="6"/>
        <v>28141.214925246328</v>
      </c>
      <c r="I53" s="758">
        <f t="shared" si="6"/>
        <v>5236.260506013813</v>
      </c>
      <c r="J53" s="758">
        <f t="shared" si="6"/>
        <v>0</v>
      </c>
      <c r="K53" s="758">
        <f t="shared" si="6"/>
        <v>149.12141614918167</v>
      </c>
      <c r="L53" s="758">
        <f t="shared" si="6"/>
        <v>0</v>
      </c>
      <c r="M53" s="758">
        <f t="shared" ca="1" si="6"/>
        <v>0</v>
      </c>
      <c r="N53" s="758">
        <f t="shared" si="6"/>
        <v>0</v>
      </c>
      <c r="O53" s="758">
        <f t="shared" ca="1" si="6"/>
        <v>0</v>
      </c>
      <c r="P53" s="758">
        <f>P41+P46+P48</f>
        <v>0</v>
      </c>
      <c r="Q53" s="759">
        <f t="shared" si="6"/>
        <v>0</v>
      </c>
      <c r="R53" s="760">
        <f ca="1">R41+R46+R48</f>
        <v>98493.267840636836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0.21096283607275129</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4642.227053632595</v>
      </c>
      <c r="C66" s="780">
        <f>'lokale energieproductie'!B6</f>
        <v>4642.227053632595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4642.227053632595</v>
      </c>
      <c r="C69" s="788">
        <f>SUM(C64:C68)</f>
        <v>4642.227053632595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36583.092786307316</v>
      </c>
      <c r="C4" s="462">
        <f>huishoudens!C8</f>
        <v>0</v>
      </c>
      <c r="D4" s="462">
        <f>huishoudens!D8</f>
        <v>57392.426959996526</v>
      </c>
      <c r="E4" s="462">
        <f>huishoudens!E8</f>
        <v>2672.6300815582763</v>
      </c>
      <c r="F4" s="462">
        <f>huishoudens!F8</f>
        <v>45109.583578678656</v>
      </c>
      <c r="G4" s="462">
        <f>huishoudens!G8</f>
        <v>0</v>
      </c>
      <c r="H4" s="462">
        <f>huishoudens!H8</f>
        <v>0</v>
      </c>
      <c r="I4" s="462">
        <f>huishoudens!I8</f>
        <v>0</v>
      </c>
      <c r="J4" s="462">
        <f>huishoudens!J8</f>
        <v>0</v>
      </c>
      <c r="K4" s="462">
        <f>huishoudens!K8</f>
        <v>0</v>
      </c>
      <c r="L4" s="462">
        <f>huishoudens!L8</f>
        <v>0</v>
      </c>
      <c r="M4" s="462">
        <f>huishoudens!M8</f>
        <v>0</v>
      </c>
      <c r="N4" s="462">
        <f>huishoudens!N8</f>
        <v>9248.6258038327469</v>
      </c>
      <c r="O4" s="462">
        <f>huishoudens!O8</f>
        <v>125.06666666666666</v>
      </c>
      <c r="P4" s="463">
        <f>huishoudens!P8</f>
        <v>266.93333333333334</v>
      </c>
      <c r="Q4" s="464">
        <f>SUM(B4:P4)</f>
        <v>151398.35921037354</v>
      </c>
    </row>
    <row r="5" spans="1:17">
      <c r="A5" s="461" t="s">
        <v>156</v>
      </c>
      <c r="B5" s="462">
        <f ca="1">tertiair!B16</f>
        <v>33793.048320046844</v>
      </c>
      <c r="C5" s="462">
        <f ca="1">tertiair!C16</f>
        <v>0</v>
      </c>
      <c r="D5" s="462">
        <f ca="1">tertiair!D16</f>
        <v>23355.123515113919</v>
      </c>
      <c r="E5" s="462">
        <f>tertiair!E16</f>
        <v>234.52396378879109</v>
      </c>
      <c r="F5" s="462">
        <f ca="1">tertiair!F16</f>
        <v>6020.9063958697579</v>
      </c>
      <c r="G5" s="462">
        <f>tertiair!G16</f>
        <v>0</v>
      </c>
      <c r="H5" s="462">
        <f>tertiair!H16</f>
        <v>0</v>
      </c>
      <c r="I5" s="462">
        <f>tertiair!I16</f>
        <v>0</v>
      </c>
      <c r="J5" s="462">
        <f>tertiair!J16</f>
        <v>0</v>
      </c>
      <c r="K5" s="462">
        <f>tertiair!K16</f>
        <v>0</v>
      </c>
      <c r="L5" s="462">
        <f ca="1">tertiair!L16</f>
        <v>0</v>
      </c>
      <c r="M5" s="462">
        <f>tertiair!M16</f>
        <v>0</v>
      </c>
      <c r="N5" s="462">
        <f ca="1">tertiair!N16</f>
        <v>2545.285663564845</v>
      </c>
      <c r="O5" s="462">
        <f>tertiair!O16</f>
        <v>1.5633333333333335</v>
      </c>
      <c r="P5" s="463">
        <f>tertiair!P16</f>
        <v>76.266666666666666</v>
      </c>
      <c r="Q5" s="461">
        <f t="shared" ref="Q5:Q13" ca="1" si="0">SUM(B5:P5)</f>
        <v>66026.71785838416</v>
      </c>
    </row>
    <row r="6" spans="1:17">
      <c r="A6" s="461" t="s">
        <v>194</v>
      </c>
      <c r="B6" s="462">
        <f>'openbare verlichting'!B8</f>
        <v>1331.963</v>
      </c>
      <c r="C6" s="462"/>
      <c r="D6" s="462"/>
      <c r="E6" s="462"/>
      <c r="F6" s="462"/>
      <c r="G6" s="462"/>
      <c r="H6" s="462"/>
      <c r="I6" s="462"/>
      <c r="J6" s="462"/>
      <c r="K6" s="462"/>
      <c r="L6" s="462"/>
      <c r="M6" s="462"/>
      <c r="N6" s="462"/>
      <c r="O6" s="462"/>
      <c r="P6" s="463"/>
      <c r="Q6" s="461">
        <f t="shared" si="0"/>
        <v>1331.963</v>
      </c>
    </row>
    <row r="7" spans="1:17">
      <c r="A7" s="461" t="s">
        <v>112</v>
      </c>
      <c r="B7" s="462">
        <f>landbouw!B8</f>
        <v>3090.5827810198498</v>
      </c>
      <c r="C7" s="462">
        <f>landbouw!C8</f>
        <v>0</v>
      </c>
      <c r="D7" s="462">
        <f>landbouw!D8</f>
        <v>3964.8401594495976</v>
      </c>
      <c r="E7" s="462">
        <f>landbouw!E8</f>
        <v>29.115360555597562</v>
      </c>
      <c r="F7" s="462">
        <f>landbouw!F8</f>
        <v>10085.597288814724</v>
      </c>
      <c r="G7" s="462">
        <f>landbouw!G8</f>
        <v>0</v>
      </c>
      <c r="H7" s="462">
        <f>landbouw!H8</f>
        <v>0</v>
      </c>
      <c r="I7" s="462">
        <f>landbouw!I8</f>
        <v>0</v>
      </c>
      <c r="J7" s="462">
        <f>landbouw!J8</f>
        <v>382.32012260391474</v>
      </c>
      <c r="K7" s="462">
        <f>landbouw!K8</f>
        <v>0</v>
      </c>
      <c r="L7" s="462">
        <f>landbouw!L8</f>
        <v>0</v>
      </c>
      <c r="M7" s="462">
        <f>landbouw!M8</f>
        <v>0</v>
      </c>
      <c r="N7" s="462">
        <f>landbouw!N8</f>
        <v>0</v>
      </c>
      <c r="O7" s="462">
        <f>landbouw!O8</f>
        <v>0</v>
      </c>
      <c r="P7" s="463">
        <f>landbouw!P8</f>
        <v>0</v>
      </c>
      <c r="Q7" s="461">
        <f t="shared" si="0"/>
        <v>17552.455712443683</v>
      </c>
    </row>
    <row r="8" spans="1:17">
      <c r="A8" s="461" t="s">
        <v>685</v>
      </c>
      <c r="B8" s="462">
        <f>industrie!B18</f>
        <v>27411.898612519697</v>
      </c>
      <c r="C8" s="462">
        <f>industrie!C18</f>
        <v>0</v>
      </c>
      <c r="D8" s="462">
        <f>industrie!D18</f>
        <v>39405.275058497034</v>
      </c>
      <c r="E8" s="462">
        <f>industrie!E18</f>
        <v>267.82578346889505</v>
      </c>
      <c r="F8" s="462">
        <f>industrie!F18</f>
        <v>4227.6984766752012</v>
      </c>
      <c r="G8" s="462">
        <f>industrie!G18</f>
        <v>0</v>
      </c>
      <c r="H8" s="462">
        <f>industrie!H18</f>
        <v>0</v>
      </c>
      <c r="I8" s="462">
        <f>industrie!I18</f>
        <v>0</v>
      </c>
      <c r="J8" s="462">
        <f>industrie!J18</f>
        <v>38.926815670609756</v>
      </c>
      <c r="K8" s="462">
        <f>industrie!K18</f>
        <v>0</v>
      </c>
      <c r="L8" s="462">
        <f>industrie!L18</f>
        <v>0</v>
      </c>
      <c r="M8" s="462">
        <f>industrie!M18</f>
        <v>0</v>
      </c>
      <c r="N8" s="462">
        <f>industrie!N18</f>
        <v>512.13923925411086</v>
      </c>
      <c r="O8" s="462">
        <f>industrie!O18</f>
        <v>0</v>
      </c>
      <c r="P8" s="463">
        <f>industrie!P18</f>
        <v>0</v>
      </c>
      <c r="Q8" s="461">
        <f t="shared" si="0"/>
        <v>71863.763986085556</v>
      </c>
    </row>
    <row r="9" spans="1:17" s="467" customFormat="1">
      <c r="A9" s="465" t="s">
        <v>579</v>
      </c>
      <c r="B9" s="466">
        <f>transport!B14</f>
        <v>2.7674241953292986</v>
      </c>
      <c r="C9" s="466">
        <f>transport!C14</f>
        <v>0</v>
      </c>
      <c r="D9" s="466">
        <f>transport!D14</f>
        <v>9.4785218580029014</v>
      </c>
      <c r="E9" s="466">
        <f>transport!E14</f>
        <v>568.05569985113038</v>
      </c>
      <c r="F9" s="466">
        <f>transport!F14</f>
        <v>0</v>
      </c>
      <c r="G9" s="466">
        <f>transport!G14</f>
        <v>102873.95429185836</v>
      </c>
      <c r="H9" s="466">
        <f>transport!H14</f>
        <v>21029.158658690012</v>
      </c>
      <c r="I9" s="466">
        <f>transport!I14</f>
        <v>0</v>
      </c>
      <c r="J9" s="466">
        <f>transport!J14</f>
        <v>0</v>
      </c>
      <c r="K9" s="466">
        <f>transport!K14</f>
        <v>0</v>
      </c>
      <c r="L9" s="466">
        <f>transport!L14</f>
        <v>0</v>
      </c>
      <c r="M9" s="466">
        <f>transport!M14</f>
        <v>5542.9379430794797</v>
      </c>
      <c r="N9" s="466">
        <f>transport!N14</f>
        <v>0</v>
      </c>
      <c r="O9" s="466">
        <f>transport!O14</f>
        <v>0</v>
      </c>
      <c r="P9" s="466">
        <f>transport!P14</f>
        <v>0</v>
      </c>
      <c r="Q9" s="465">
        <f>SUM(B9:P9)</f>
        <v>130026.35253953231</v>
      </c>
    </row>
    <row r="10" spans="1:17">
      <c r="A10" s="461" t="s">
        <v>569</v>
      </c>
      <c r="B10" s="462">
        <f>transport!B54</f>
        <v>0</v>
      </c>
      <c r="C10" s="462">
        <f>transport!C54</f>
        <v>0</v>
      </c>
      <c r="D10" s="462">
        <f>transport!D54</f>
        <v>0</v>
      </c>
      <c r="E10" s="462">
        <f>transport!E54</f>
        <v>0</v>
      </c>
      <c r="F10" s="462">
        <f>transport!F54</f>
        <v>0</v>
      </c>
      <c r="G10" s="462">
        <f>transport!G54</f>
        <v>2523.8544169293764</v>
      </c>
      <c r="H10" s="462">
        <f>transport!H54</f>
        <v>0</v>
      </c>
      <c r="I10" s="462">
        <f>transport!I54</f>
        <v>0</v>
      </c>
      <c r="J10" s="462">
        <f>transport!J54</f>
        <v>0</v>
      </c>
      <c r="K10" s="462">
        <f>transport!K54</f>
        <v>0</v>
      </c>
      <c r="L10" s="462">
        <f>transport!L54</f>
        <v>0</v>
      </c>
      <c r="M10" s="462">
        <f>transport!M54</f>
        <v>110.82661080565221</v>
      </c>
      <c r="N10" s="462">
        <f>transport!N54</f>
        <v>0</v>
      </c>
      <c r="O10" s="462">
        <f>transport!O54</f>
        <v>0</v>
      </c>
      <c r="P10" s="463">
        <f>transport!P54</f>
        <v>0</v>
      </c>
      <c r="Q10" s="461">
        <f t="shared" si="0"/>
        <v>2634.6810277350287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102213.35292408905</v>
      </c>
      <c r="C14" s="472">
        <f t="shared" ref="C14:Q14" ca="1" si="1">SUM(C4:C13)</f>
        <v>0</v>
      </c>
      <c r="D14" s="472">
        <f t="shared" ca="1" si="1"/>
        <v>124127.14421491508</v>
      </c>
      <c r="E14" s="472">
        <f t="shared" si="1"/>
        <v>3772.1508892226902</v>
      </c>
      <c r="F14" s="472">
        <f t="shared" ca="1" si="1"/>
        <v>65443.785740038336</v>
      </c>
      <c r="G14" s="472">
        <f t="shared" si="1"/>
        <v>105397.80870878774</v>
      </c>
      <c r="H14" s="472">
        <f t="shared" si="1"/>
        <v>21029.158658690012</v>
      </c>
      <c r="I14" s="472">
        <f t="shared" si="1"/>
        <v>0</v>
      </c>
      <c r="J14" s="472">
        <f t="shared" si="1"/>
        <v>421.2469382745245</v>
      </c>
      <c r="K14" s="472">
        <f t="shared" si="1"/>
        <v>0</v>
      </c>
      <c r="L14" s="472">
        <f t="shared" ca="1" si="1"/>
        <v>0</v>
      </c>
      <c r="M14" s="472">
        <f t="shared" si="1"/>
        <v>5653.764553885132</v>
      </c>
      <c r="N14" s="472">
        <f t="shared" ca="1" si="1"/>
        <v>12306.050706651704</v>
      </c>
      <c r="O14" s="472">
        <f t="shared" si="1"/>
        <v>126.63</v>
      </c>
      <c r="P14" s="473">
        <f t="shared" si="1"/>
        <v>343.2</v>
      </c>
      <c r="Q14" s="473">
        <f t="shared" ca="1" si="1"/>
        <v>440834.29333455424</v>
      </c>
    </row>
    <row r="16" spans="1:17">
      <c r="A16" s="475" t="s">
        <v>574</v>
      </c>
      <c r="B16" s="829">
        <f ca="1">huishoudens!B10</f>
        <v>0.21096283607275132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7717.6730065120018</v>
      </c>
      <c r="C21" s="462">
        <f t="shared" ref="C21:C30" ca="1" si="3">C4*$C$16</f>
        <v>0</v>
      </c>
      <c r="D21" s="462">
        <f t="shared" ref="D21:D30" si="4">D4*$D$16</f>
        <v>11593.270245919299</v>
      </c>
      <c r="E21" s="462">
        <f t="shared" ref="E21:E30" si="5">E4*$E$16</f>
        <v>606.68702851372871</v>
      </c>
      <c r="F21" s="462">
        <f t="shared" ref="F21:F30" si="6">F4*$F$16</f>
        <v>12044.258815507203</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31961.889096452236</v>
      </c>
    </row>
    <row r="22" spans="1:17">
      <c r="A22" s="461" t="s">
        <v>156</v>
      </c>
      <c r="B22" s="462">
        <f t="shared" ca="1" si="2"/>
        <v>7129.0773131406067</v>
      </c>
      <c r="C22" s="462">
        <f t="shared" ca="1" si="3"/>
        <v>0</v>
      </c>
      <c r="D22" s="462">
        <f t="shared" ca="1" si="4"/>
        <v>4717.7349500530117</v>
      </c>
      <c r="E22" s="462">
        <f t="shared" si="5"/>
        <v>53.236939780055579</v>
      </c>
      <c r="F22" s="462">
        <f t="shared" ca="1" si="6"/>
        <v>1607.5820076972254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13507.631210670899</v>
      </c>
    </row>
    <row r="23" spans="1:17">
      <c r="A23" s="461" t="s">
        <v>194</v>
      </c>
      <c r="B23" s="462">
        <f t="shared" ca="1" si="2"/>
        <v>280.99469202397006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280.99469202397006</v>
      </c>
    </row>
    <row r="24" spans="1:17">
      <c r="A24" s="461" t="s">
        <v>112</v>
      </c>
      <c r="B24" s="462">
        <f t="shared" ca="1" si="2"/>
        <v>651.99810860155844</v>
      </c>
      <c r="C24" s="462">
        <f t="shared" ca="1" si="3"/>
        <v>0</v>
      </c>
      <c r="D24" s="462">
        <f t="shared" si="4"/>
        <v>800.8977122088188</v>
      </c>
      <c r="E24" s="462">
        <f t="shared" si="5"/>
        <v>6.6091868461206467</v>
      </c>
      <c r="F24" s="462">
        <f t="shared" si="6"/>
        <v>2692.8544761135317</v>
      </c>
      <c r="G24" s="462">
        <f t="shared" si="7"/>
        <v>0</v>
      </c>
      <c r="H24" s="462">
        <f t="shared" si="8"/>
        <v>0</v>
      </c>
      <c r="I24" s="462">
        <f t="shared" si="9"/>
        <v>0</v>
      </c>
      <c r="J24" s="462">
        <f t="shared" si="10"/>
        <v>135.34132340178581</v>
      </c>
      <c r="K24" s="462">
        <f t="shared" si="11"/>
        <v>0</v>
      </c>
      <c r="L24" s="462">
        <f t="shared" si="12"/>
        <v>0</v>
      </c>
      <c r="M24" s="462">
        <f t="shared" si="13"/>
        <v>0</v>
      </c>
      <c r="N24" s="462">
        <f t="shared" si="14"/>
        <v>0</v>
      </c>
      <c r="O24" s="462">
        <f t="shared" si="15"/>
        <v>0</v>
      </c>
      <c r="P24" s="463">
        <f t="shared" si="16"/>
        <v>0</v>
      </c>
      <c r="Q24" s="461">
        <f t="shared" ca="1" si="17"/>
        <v>4287.7008071718155</v>
      </c>
    </row>
    <row r="25" spans="1:17">
      <c r="A25" s="461" t="s">
        <v>685</v>
      </c>
      <c r="B25" s="462">
        <f t="shared" ca="1" si="2"/>
        <v>5782.8918734358722</v>
      </c>
      <c r="C25" s="462">
        <f t="shared" ca="1" si="3"/>
        <v>0</v>
      </c>
      <c r="D25" s="462">
        <f t="shared" si="4"/>
        <v>7959.8655618164012</v>
      </c>
      <c r="E25" s="462">
        <f t="shared" si="5"/>
        <v>60.796452847439177</v>
      </c>
      <c r="F25" s="462">
        <f t="shared" si="6"/>
        <v>1128.7954932722787</v>
      </c>
      <c r="G25" s="462">
        <f t="shared" si="7"/>
        <v>0</v>
      </c>
      <c r="H25" s="462">
        <f t="shared" si="8"/>
        <v>0</v>
      </c>
      <c r="I25" s="462">
        <f t="shared" si="9"/>
        <v>0</v>
      </c>
      <c r="J25" s="462">
        <f t="shared" si="10"/>
        <v>13.780092747395853</v>
      </c>
      <c r="K25" s="462">
        <f t="shared" si="11"/>
        <v>0</v>
      </c>
      <c r="L25" s="462">
        <f t="shared" si="12"/>
        <v>0</v>
      </c>
      <c r="M25" s="462">
        <f t="shared" si="13"/>
        <v>0</v>
      </c>
      <c r="N25" s="462">
        <f t="shared" si="14"/>
        <v>0</v>
      </c>
      <c r="O25" s="462">
        <f t="shared" si="15"/>
        <v>0</v>
      </c>
      <c r="P25" s="463">
        <f t="shared" si="16"/>
        <v>0</v>
      </c>
      <c r="Q25" s="461">
        <f t="shared" ca="1" si="17"/>
        <v>14946.129474119387</v>
      </c>
    </row>
    <row r="26" spans="1:17" s="467" customFormat="1">
      <c r="A26" s="465" t="s">
        <v>579</v>
      </c>
      <c r="B26" s="823">
        <f t="shared" ca="1" si="2"/>
        <v>0.58382365686302051</v>
      </c>
      <c r="C26" s="466">
        <f t="shared" ca="1" si="3"/>
        <v>0</v>
      </c>
      <c r="D26" s="466">
        <f t="shared" si="4"/>
        <v>1.9146614153165862</v>
      </c>
      <c r="E26" s="466">
        <f t="shared" si="5"/>
        <v>128.9486438662066</v>
      </c>
      <c r="F26" s="466">
        <f t="shared" si="6"/>
        <v>0</v>
      </c>
      <c r="G26" s="466">
        <f t="shared" si="7"/>
        <v>27467.345795926183</v>
      </c>
      <c r="H26" s="466">
        <f t="shared" si="8"/>
        <v>5236.260506013813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32835.053430878383</v>
      </c>
    </row>
    <row r="27" spans="1:17">
      <c r="A27" s="461" t="s">
        <v>569</v>
      </c>
      <c r="B27" s="462">
        <f t="shared" ca="1" si="2"/>
        <v>0</v>
      </c>
      <c r="C27" s="462">
        <f t="shared" ca="1" si="3"/>
        <v>0</v>
      </c>
      <c r="D27" s="462">
        <f t="shared" si="4"/>
        <v>0</v>
      </c>
      <c r="E27" s="462">
        <f t="shared" si="5"/>
        <v>0</v>
      </c>
      <c r="F27" s="462">
        <f t="shared" si="6"/>
        <v>0</v>
      </c>
      <c r="G27" s="462">
        <f t="shared" si="7"/>
        <v>673.86912932014354</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673.86912932014354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21563.218817370875</v>
      </c>
      <c r="C31" s="472">
        <f t="shared" ca="1" si="18"/>
        <v>0</v>
      </c>
      <c r="D31" s="472">
        <f t="shared" ca="1" si="18"/>
        <v>25073.683131412847</v>
      </c>
      <c r="E31" s="472">
        <f t="shared" si="18"/>
        <v>856.27825185355061</v>
      </c>
      <c r="F31" s="472">
        <f t="shared" ca="1" si="18"/>
        <v>17473.490792590237</v>
      </c>
      <c r="G31" s="472">
        <f t="shared" si="18"/>
        <v>28141.214925246328</v>
      </c>
      <c r="H31" s="472">
        <f t="shared" si="18"/>
        <v>5236.260506013813</v>
      </c>
      <c r="I31" s="472">
        <f t="shared" si="18"/>
        <v>0</v>
      </c>
      <c r="J31" s="472">
        <f t="shared" si="18"/>
        <v>149.12141614918167</v>
      </c>
      <c r="K31" s="472">
        <f t="shared" si="18"/>
        <v>0</v>
      </c>
      <c r="L31" s="472">
        <f t="shared" ca="1" si="18"/>
        <v>0</v>
      </c>
      <c r="M31" s="472">
        <f t="shared" si="18"/>
        <v>0</v>
      </c>
      <c r="N31" s="472">
        <f t="shared" ca="1" si="18"/>
        <v>0</v>
      </c>
      <c r="O31" s="472">
        <f t="shared" si="18"/>
        <v>0</v>
      </c>
      <c r="P31" s="473">
        <f t="shared" si="18"/>
        <v>0</v>
      </c>
      <c r="Q31" s="473">
        <f t="shared" ca="1" si="18"/>
        <v>98493.267840636836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0.21096283607275132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2</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38.133333333333333</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0.21096283607275132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0.21096283607275132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2018-06-27T09:17:45Z</dcterms:modified>
</cp:coreProperties>
</file>