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B16"/>
  <c r="B78" i="14" s="1"/>
  <c r="K11" i="18"/>
  <c r="J11"/>
  <c r="I11"/>
  <c r="H11"/>
  <c r="G11"/>
  <c r="F11"/>
  <c r="E11"/>
  <c r="D11"/>
  <c r="C11"/>
  <c r="L8"/>
  <c r="L9" s="1"/>
  <c r="K8"/>
  <c r="K9" s="1"/>
  <c r="G8"/>
  <c r="G9" s="1"/>
  <c r="F8"/>
  <c r="F9" s="1"/>
  <c r="E8"/>
  <c r="F68" i="14" s="1"/>
  <c r="D8" i="18"/>
  <c r="D9" s="1"/>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E8" i="16"/>
  <c r="J15"/>
  <c r="K19" i="18"/>
  <c r="B97"/>
  <c r="I101" s="1"/>
  <c r="H16" s="1"/>
  <c r="F16" i="16"/>
  <c r="L68" i="14"/>
  <c r="C13" i="15"/>
  <c r="D12" i="22"/>
  <c r="E17" i="14"/>
  <c r="D13" i="48"/>
  <c r="D31" i="20"/>
  <c r="E43" i="14" s="1"/>
  <c r="E12" i="22"/>
  <c r="F17" i="14"/>
  <c r="E13" i="48"/>
  <c r="E101" i="18"/>
  <c r="E16" s="1"/>
  <c r="F78" i="14" s="1"/>
  <c r="H101" i="18"/>
  <c r="D101"/>
  <c r="G101"/>
  <c r="C101"/>
  <c r="B101"/>
  <c r="C16" s="1"/>
  <c r="D78" i="14" s="1"/>
  <c r="I11" i="48"/>
  <c r="N19" i="19"/>
  <c r="O35" i="14" s="1"/>
  <c r="B6" i="48"/>
  <c r="Q6" s="1"/>
  <c r="B8" i="9"/>
  <c r="P22" i="16"/>
  <c r="Q39" i="14" s="1"/>
  <c r="P18" i="16"/>
  <c r="F8" i="17"/>
  <c r="F7" i="48" s="1"/>
  <c r="F24" s="1"/>
  <c r="J8" i="17"/>
  <c r="K22"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I78" i="14" l="1"/>
  <c r="I81" s="1"/>
  <c r="H19" i="18"/>
  <c r="E19"/>
  <c r="J7" i="48"/>
  <c r="J24" s="1"/>
  <c r="F12" i="17"/>
  <c r="G48" i="14" s="1"/>
  <c r="F81"/>
  <c r="L5" i="17"/>
  <c r="L8" s="1"/>
  <c r="D13" i="14"/>
  <c r="D15" s="1"/>
  <c r="J12" i="17"/>
  <c r="K48" i="14" s="1"/>
  <c r="C68"/>
  <c r="G22"/>
  <c r="F101" i="18"/>
  <c r="I16" s="1"/>
  <c r="D8" i="48"/>
  <c r="D25" s="1"/>
  <c r="D18" i="16"/>
  <c r="D22" s="1"/>
  <c r="E39" i="14" s="1"/>
  <c r="L21" i="48"/>
  <c r="B14" i="22"/>
  <c r="B9" i="48" s="1"/>
  <c r="I17" i="14"/>
  <c r="H12" i="22"/>
  <c r="D16" i="15"/>
  <c r="D20" s="1"/>
  <c r="B35" i="13"/>
  <c r="N8" i="17"/>
  <c r="I100" i="18"/>
  <c r="H7" s="1"/>
  <c r="E100"/>
  <c r="E7" s="1"/>
  <c r="H100"/>
  <c r="D100"/>
  <c r="G100"/>
  <c r="C100"/>
  <c r="J7" s="1"/>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O18" i="16"/>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J23" i="14"/>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B46" i="13"/>
  <c r="E5" s="1"/>
  <c r="E8" s="1"/>
  <c r="E12" s="1"/>
  <c r="F37" i="14" s="1"/>
  <c r="K31" i="48"/>
  <c r="L26"/>
  <c r="M29"/>
  <c r="M25"/>
  <c r="M24"/>
  <c r="I31"/>
  <c r="C50" i="13"/>
  <c r="J5" s="1"/>
  <c r="J8" s="1"/>
  <c r="E7" i="48"/>
  <c r="E24" s="1"/>
  <c r="E12" i="17"/>
  <c r="F48" i="14" s="1"/>
  <c r="C5" i="48"/>
  <c r="C14" s="1"/>
  <c r="J78" i="14" l="1"/>
  <c r="J81" s="1"/>
  <c r="I19" i="18"/>
  <c r="L7" i="48"/>
  <c r="L24" s="1"/>
  <c r="M22" i="14"/>
  <c r="L12" i="17"/>
  <c r="M48" i="14" s="1"/>
  <c r="I7" i="18"/>
  <c r="O78" i="14"/>
  <c r="O81" s="1"/>
  <c r="B17" i="6" s="1"/>
  <c r="E10" i="14"/>
  <c r="E15" s="1"/>
  <c r="E23" s="1"/>
  <c r="D5" i="48"/>
  <c r="D22" s="1"/>
  <c r="D31"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55" i="14"/>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L31" i="48" l="1"/>
  <c r="J20" i="15"/>
  <c r="K36" i="14"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J31" s="1"/>
  <c r="J14"/>
  <c r="R10" i="14"/>
  <c r="K13" l="1"/>
  <c r="K15" s="1"/>
  <c r="K23" s="1"/>
  <c r="E25" i="48"/>
  <c r="E31" s="1"/>
  <c r="E14"/>
  <c r="N25"/>
  <c r="N14"/>
  <c r="E22" i="16"/>
  <c r="F39" i="14" s="1"/>
  <c r="F41" s="1"/>
  <c r="F53" s="1"/>
  <c r="J22" i="16"/>
  <c r="K39" i="14" s="1"/>
  <c r="K41" s="1"/>
  <c r="K53" s="1"/>
  <c r="K55" s="1"/>
  <c r="Q8" i="48"/>
  <c r="N31"/>
  <c r="F13" i="14"/>
  <c r="F15" s="1"/>
  <c r="F23" s="1"/>
  <c r="F55"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<sst xmlns="http://schemas.openxmlformats.org/spreadsheetml/2006/main" count="2018" uniqueCount="877">
  <si>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</si>
  <si>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</si>
  <si>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</si>
  <si>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</si>
  <si>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</si>
  <si>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</si>
  <si>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</si>
  <si>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</si>
  <si>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</si>
  <si>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</si>
  <si>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</si>
  <si>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</si>
  <si>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</si>
  <si>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</si>
  <si>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</si>
  <si>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</si>
  <si>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</si>
  <si>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</si>
  <si>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</si>
  <si>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</si>
  <si>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</si>
  <si>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</si>
  <si>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</si>
  <si>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</si>
  <si>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</si>
  <si>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</si>
  <si>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</si>
  <si>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</si>
  <si>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</si>
  <si>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</si>
  <si>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</si>
  <si>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</si>
  <si>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</si>
  <si>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</si>
  <si>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</si>
  <si>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</si>
  <si>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</si>
  <si>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</si>
  <si>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</si>
  <si>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</si>
  <si>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</si>
  <si>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</si>
  <si>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</si>
  <si>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</si>
  <si>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</si>
  <si>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</si>
  <si>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</si>
  <si>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</si>
  <si>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</si>
  <si>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</si>
  <si>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</si>
  <si>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</si>
  <si>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</si>
  <si>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</si>
  <si>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</si>
  <si>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</si>
  <si>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</si>
  <si>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</si>
  <si>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</si>
  <si>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</si>
  <si>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</si>
  <si>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</si>
  <si>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</si>
  <si>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</si>
  <si>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</si>
  <si>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</si>
  <si>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</si>
  <si>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</si>
  <si>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</si>
  <si>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</si>
  <si>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</si>
  <si>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</si>
  <si>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</si>
  <si>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</si>
  <si>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</si>
  <si>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</si>
  <si>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</si>
  <si>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</si>
  <si>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</si>
  <si>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</si>
  <si>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</si>
  <si>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</si>
  <si>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</si>
  <si>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</si>
  <si>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</si>
  <si>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</si>
  <si>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</si>
  <si>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</si>
  <si>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</si>
  <si>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</si>
  <si>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</si>
  <si>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</si>
  <si>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</si>
  <si>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</si>
  <si>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</si>
  <si>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</si>
  <si>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</si>
  <si>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</si>
  <si>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</si>
  <si>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</si>
  <si>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</si>
  <si>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</si>
  <si>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</si>
  <si>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</si>
  <si>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</si>
  <si>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</si>
  <si>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</si>
  <si>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</si>
  <si>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</si>
  <si>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</si>
  <si>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</si>
  <si>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</si>
  <si>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</si>
  <si>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</si>
  <si>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</si>
  <si>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</si>
  <si>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</si>
  <si>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</si>
  <si>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</si>
  <si>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</si>
  <si>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</si>
  <si>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</si>
  <si>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</si>
  <si>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</si>
  <si>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</si>
  <si>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</si>
  <si>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</si>
  <si>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</si>
  <si>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</si>
  <si>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</si>
  <si>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</si>
  <si>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</si>
  <si>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</si>
  <si>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</si>
  <si>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</si>
  <si>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</si>
  <si>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</si>
  <si>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</si>
  <si>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</si>
  <si>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</si>
  <si>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</si>
  <si>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</si>
  <si>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</si>
  <si>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</si>
  <si>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</si>
  <si>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</si>
  <si>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</si>
  <si>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</si>
  <si>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</si>
  <si>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</si>
  <si>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</si>
  <si>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</si>
  <si>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</si>
  <si>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</si>
  <si>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</si>
  <si>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</si>
  <si>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</si>
  <si>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</si>
  <si>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</si>
  <si>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</si>
  <si>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</si>
  <si>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</si>
  <si>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</si>
  <si>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</si>
  <si>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</si>
  <si>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</si>
  <si>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</si>
  <si>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</si>
  <si>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</si>
  <si>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</si>
  <si>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</si>
  <si>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</si>
  <si>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</si>
  <si>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</si>
  <si>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</si>
  <si>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</si>
  <si>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</si>
  <si>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</si>
  <si>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</si>
  <si>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</si>
  <si>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</si>
  <si>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</si>
  <si>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</si>
  <si>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</si>
  <si>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</si>
  <si>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</si>
  <si>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</si>
  <si>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</si>
  <si>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</si>
  <si>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</si>
  <si>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</si>
  <si>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</si>
  <si>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</si>
  <si>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</si>
  <si>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</si>
  <si>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</si>
  <si>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</si>
  <si>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</si>
  <si>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</si>
  <si>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</si>
  <si>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</si>
  <si>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</si>
  <si>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</si>
  <si>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</si>
  <si>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</si>
  <si>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</si>
  <si>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</si>
  <si>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</si>
  <si>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</si>
  <si>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</si>
  <si>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</si>
  <si>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</si>
  <si>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</si>
  <si>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</si>
  <si>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</si>
  <si>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</si>
  <si>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</si>
  <si>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</si>
  <si>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</si>
  <si>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</si>
  <si>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</si>
  <si>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</si>
  <si>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</si>
  <si>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</si>
  <si>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</si>
  <si>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</si>
  <si>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</si>
  <si>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</si>
  <si>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</si>
  <si>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</si>
  <si>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</si>
  <si>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</si>
  <si>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</si>
  <si>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</si>
  <si>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</si>
  <si>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</si>
  <si>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</si>
  <si>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</si>
  <si>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</si>
  <si>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</si>
  <si>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</si>
  <si>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</si>
  <si>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</si>
  <si>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</si>
  <si>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</si>
  <si>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</si>
  <si>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</si>
  <si>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</si>
  <si>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</si>
  <si>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</si>
  <si>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</si>
  <si>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</si>
  <si>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</si>
  <si>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</si>
  <si>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</si>
  <si>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</si>
  <si>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</si>
  <si>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</si>
  <si>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</si>
  <si>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</si>
  <si>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</si>
  <si>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</si>
  <si>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</si>
  <si>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</si>
  <si>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</si>
  <si>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</si>
  <si>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</si>
  <si>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</si>
  <si>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</si>
  <si>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</si>
  <si>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</si>
  <si>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</si>
  <si>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</si>
  <si>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</si>
  <si>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</si>
  <si>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</si>
  <si>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</si>
  <si>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</si>
  <si>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</si>
  <si>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</si>
  <si>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</si>
  <si>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</si>
  <si>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</si>
  <si>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</si>
  <si>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</si>
  <si>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</si>
  <si>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</si>
  <si>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</si>
  <si>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</si>
  <si>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</si>
  <si>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</si>
  <si>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</si>
  <si>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</si>
  <si>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</si>
  <si>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</si>
  <si>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</si>
  <si>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</si>
  <si>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</si>
  <si>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</si>
  <si>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</si>
  <si>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</si>
  <si>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</si>
  <si>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</si>
  <si>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</si>
  <si>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</si>
  <si>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</si>
  <si>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</si>
  <si>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</si>
  <si>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</si>
  <si>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</si>
  <si>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</si>
  <si>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</si>
  <si>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</si>
  <si>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</si>
  <si>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</si>
  <si>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</si>
  <si>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</si>
  <si>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</si>
  <si>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</si>
  <si>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</si>
  <si>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</si>
  <si>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</si>
  <si>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</si>
  <si>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</si>
  <si>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</si>
  <si>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</si>
  <si>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</si>
  <si>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</si>
  <si>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</si>
  <si>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</si>
  <si>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</si>
  <si>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</si>
  <si>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</si>
  <si>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</si>
  <si>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</si>
  <si>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</si>
  <si>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</si>
  <si>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</si>
  <si>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</si>
  <si>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</si>
  <si>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</si>
  <si>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</si>
  <si>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</si>
  <si>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</si>
  <si>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</si>
  <si>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</si>
  <si>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</si>
  <si>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</si>
  <si>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</si>
  <si>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</si>
  <si>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</si>
  <si>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</si>
  <si>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</si>
  <si>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</si>
  <si>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</si>
  <si>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</si>
  <si>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</si>
  <si>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</si>
  <si>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</si>
  <si>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</si>
  <si>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</si>
  <si>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</si>
  <si>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</si>
  <si>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</si>
  <si>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</si>
  <si>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</si>
  <si>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</si>
  <si>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</si>
  <si>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</si>
  <si>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</si>
  <si>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</si>
  <si>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</si>
  <si>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</si>
  <si>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</si>
  <si>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</si>
  <si>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</si>
  <si>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</si>
  <si>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</si>
  <si>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</si>
  <si>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</si>
  <si>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</si>
  <si>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</si>
  <si>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</si>
  <si>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</si>
  <si>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</si>
  <si>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</si>
  <si>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</si>
  <si>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</si>
  <si>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</si>
  <si>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</si>
  <si>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</si>
  <si>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</si>
  <si>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</si>
  <si>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</si>
  <si>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</si>
  <si>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</si>
  <si>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</si>
  <si>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</si>
  <si>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</si>
  <si>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</si>
  <si>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</si>
  <si>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</si>
  <si>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</si>
  <si>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</si>
  <si>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</si>
  <si>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</si>
  <si>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</si>
  <si>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</si>
  <si>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</si>
  <si>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</si>
  <si>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</si>
  <si>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</si>
  <si>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</si>
  <si>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</si>
  <si>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</si>
  <si>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</si>
  <si>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</si>
  <si>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</si>
  <si>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</si>
  <si>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</si>
  <si>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</si>
  <si>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</si>
  <si>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</si>
  <si>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</si>
  <si>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</si>
  <si>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</si>
  <si>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</si>
  <si>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</si>
  <si>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</si>
  <si>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</si>
  <si>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</si>
  <si>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</si>
  <si>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</si>
  <si>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</si>
  <si>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</si>
  <si>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</si>
  <si>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</si>
  <si>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</si>
  <si>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</si>
  <si>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</si>
  <si>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</si>
  <si>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</si>
  <si>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</si>
  <si>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</si>
  <si>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</si>
  <si>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</si>
  <si>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</si>
  <si>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</si>
  <si>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</si>
  <si>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</si>
  <si>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</si>
  <si>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</si>
  <si>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</si>
  <si>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</si>
  <si>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</si>
  <si>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</si>
  <si>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</si>
  <si>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</si>
  <si>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</si>
  <si>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</si>
  <si>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</si>
  <si>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</si>
  <si>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</si>
  <si>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</si>
  <si>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</si>
  <si>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</si>
  <si>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</si>
  <si>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</si>
  <si>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</si>
  <si>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</si>
  <si>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</si>
  <si>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</si>
  <si>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</si>
  <si>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</si>
  <si>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</si>
  <si>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</si>
  <si>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</si>
  <si>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</si>
  <si>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</si>
  <si>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</si>
  <si>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</si>
  <si>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</si>
  <si>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</si>
  <si>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</si>
  <si>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</si>
  <si>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</si>
  <si>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</si>
  <si>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</si>
  <si>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</si>
  <si>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</si>
  <si>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</si>
  <si>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</si>
  <si>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</si>
  <si>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</si>
  <si>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</si>
  <si>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</si>
  <si>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</si>
  <si>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</si>
  <si>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</si>
  <si>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</si>
  <si>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</si>
  <si>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</si>
  <si>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</si>
  <si>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</si>
  <si>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</si>
  <si>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</si>
  <si>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</si>
  <si>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</si>
  <si>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</si>
  <si>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</si>
  <si>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</si>
  <si>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</si>
  <si>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</si>
  <si>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</si>
  <si>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</si>
  <si>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</si>
  <si>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</si>
  <si>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</si>
  <si>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</si>
  <si>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</si>
  <si>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</si>
  <si>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</si>
  <si>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</si>
  <si>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</si>
  <si>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</si>
  <si>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</si>
  <si>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</si>
  <si>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</si>
  <si>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</si>
  <si>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</si>
  <si>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</si>
  <si>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</si>
  <si>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</si>
  <si>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</si>
  <si>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</si>
  <si>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</si>
  <si>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</si>
  <si>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</si>
  <si>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</si>
  <si>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</si>
  <si>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</si>
  <si>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</si>
  <si>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</si>
  <si>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</si>
  <si>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</si>
  <si>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</si>
  <si>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</si>
  <si>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</si>
  <si>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</si>
  <si>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</si>
  <si>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</si>
  <si>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</si>
  <si>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</si>
  <si>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</si>
  <si>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</si>
  <si>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</si>
  <si>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</si>
  <si>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</si>
  <si>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</si>
  <si>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</si>
  <si>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</si>
  <si>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</si>
  <si>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</si>
  <si>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</si>
  <si>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</si>
  <si>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</si>
  <si>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</si>
  <si>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</si>
  <si>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</si>
  <si>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</si>
  <si>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</si>
  <si>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</si>
  <si>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</si>
  <si>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</si>
  <si>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</si>
  <si>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</si>
  <si>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</si>
  <si>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</si>
  <si>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</si>
  <si>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</si>
  <si>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</si>
  <si>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</si>
  <si>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</si>
  <si>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</si>
  <si>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</si>
  <si>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</si>
  <si>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</si>
  <si>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</si>
  <si>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</si>
  <si>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</si>
  <si>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</si>
  <si>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</si>
  <si>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</si>
  <si>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</si>
  <si>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</si>
  <si>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</si>
  <si>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</si>
  <si>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</si>
  <si>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</si>
  <si>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</si>
  <si>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</si>
  <si>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</si>
  <si>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</si>
  <si>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</si>
  <si>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</si>
  <si>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</si>
  <si>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</si>
  <si>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</si>
  <si>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</si>
  <si>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</si>
  <si>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</si>
  <si>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</si>
  <si>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</si>
  <si>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</si>
  <si>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</si>
  <si>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</si>
  <si>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</si>
  <si>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</si>
  <si>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</si>
  <si>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</si>
  <si>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</si>
  <si>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</si>
  <si>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</si>
  <si>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</si>
  <si>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</si>
  <si>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</si>
  <si>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</si>
  <si>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</si>
  <si>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</si>
  <si>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</si>
  <si>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</si>
  <si>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</si>
  <si>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</si>
  <si>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</si>
  <si>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</si>
  <si>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</si>
  <si>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</si>
  <si>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</si>
  <si>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</si>
  <si>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</si>
  <si>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</si>
  <si>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</si>
  <si>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</si>
  <si>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</si>
  <si>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</si>
  <si>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</si>
  <si>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</si>
  <si>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</si>
  <si>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</si>
  <si>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</si>
  <si>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</si>
  <si>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</si>
  <si>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</si>
  <si>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</si>
  <si>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</si>
  <si>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</si>
  <si>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</si>
  <si>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</si>
  <si>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</si>
  <si>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</si>
  <si>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</si>
  <si>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</si>
  <si>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</si>
  <si>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</si>
  <si>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</si>
  <si>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</si>
  <si>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</si>
  <si>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</si>
  <si>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</si>
  <si>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</si>
  <si>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</si>
  <si>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</si>
  <si>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</si>
  <si>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</si>
  <si>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</si>
  <si>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</si>
  <si>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</si>
  <si>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</si>
  <si>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</si>
  <si>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</si>
  <si>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</si>
  <si>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</si>
  <si>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</si>
  <si>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</si>
  <si>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</si>
  <si>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</si>
  <si>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</si>
  <si>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</si>
  <si>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</si>
  <si>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</si>
  <si>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</si>
  <si>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</si>
  <si>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</si>
  <si>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</si>
  <si>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</si>
  <si>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</si>
  <si>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</si>
  <si>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</si>
  <si>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</si>
  <si>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</si>
  <si>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</si>
  <si>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</si>
  <si>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</si>
  <si>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</si>
  <si>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</si>
  <si>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</si>
  <si>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</si>
  <si>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</si>
  <si>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</si>
  <si>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</si>
  <si>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</si>
  <si>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</si>
  <si>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</si>
  <si>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</si>
  <si>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</si>
  <si>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</si>
  <si>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</si>
  <si>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</si>
  <si>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</si>
  <si>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</si>
  <si>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</si>
  <si>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</si>
  <si>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</si>
  <si>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</si>
  <si>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</si>
  <si>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</si>
  <si>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</si>
  <si>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</si>
  <si>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</si>
  <si>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</si>
  <si>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</si>
  <si>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</si>
  <si>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</si>
  <si>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</si>
  <si>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</si>
  <si>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</si>
  <si>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</si>
  <si>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</si>
  <si>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</si>
  <si>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</si>
  <si>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</si>
  <si>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</si>
  <si>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</si>
  <si>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</si>
  <si>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</si>
  <si>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</si>
  <si>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</si>
  <si>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</si>
  <si>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</si>
  <si>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</si>
  <si>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</si>
  <si>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</si>
  <si>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</si>
  <si>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</si>
  <si>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</si>
  <si>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</si>
  <si>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</si>
  <si>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</si>
  <si>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</si>
  <si>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</si>
  <si>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</si>
  <si>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</si>
  <si>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</si>
  <si>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</si>
  <si>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</si>
  <si>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</si>
  <si>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</si>
  <si>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</si>
  <si>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</si>
  <si>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</si>
  <si>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</si>
  <si>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</si>
  <si>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</si>
  <si>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</si>
  <si>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</si>
  <si>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</si>
  <si>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</si>
  <si>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</si>
  <si>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</si>
  <si>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</si>
  <si>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</si>
  <si>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</si>
  <si>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</si>
  <si>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</si>
  <si>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</si>
  <si>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</si>
  <si>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</si>
  <si>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</si>
  <si>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</si>
  <si>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</si>
  <si>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</si>
  <si>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</si>
  <si>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</si>
  <si>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</si>
  <si>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</si>
  <si>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</si>
  <si>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</si>
  <si>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</si>
  <si>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</si>
  <si>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</si>
  <si>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</si>
  <si>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</si>
  <si>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</si>
  <si>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</si>
  <si>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</si>
  <si>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</si>
  <si>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</si>
  <si>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</si>
  <si>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</si>
  <si>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</si>
  <si>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</si>
  <si>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</si>
  <si>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</si>
  <si>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</si>
  <si>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</si>
  <si>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</si>
  <si>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</si>
  <si>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</si>
  <si>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</si>
  <si>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</si>
  <si>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</si>
  <si>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</si>
  <si>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</si>
  <si>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</si>
  <si>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</si>
  <si>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</si>
  <si>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</si>
  <si>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</si>
  <si>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</si>
  <si>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</si>
  <si>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</si>
  <si>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</si>
  <si>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</si>
  <si>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</si>
  <si>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</si>
  <si>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</si>
  <si>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</si>
  <si>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</si>
  <si>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</si>
  <si>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</si>
  <si>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</si>
  <si>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</si>
  <si>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</si>
  <si>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</si>
  <si>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</si>
  <si>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</si>
  <si>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</si>
  <si>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</si>
  <si>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</si>
  <si>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</si>
  <si>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</si>
  <si>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</si>
  <si>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</si>
  <si>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</si>
  <si>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</si>
  <si>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</si>
  <si>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</si>
  <si>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</si>
  <si>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</si>
  <si>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</si>
  <si>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</si>
  <si>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</si>
  <si>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</si>
  <si>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</si>
  <si>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</si>
  <si>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</si>
  <si>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</si>
  <si>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</si>
  <si>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</si>
  <si>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</si>
  <si>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</si>
  <si>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23033</t>
  </si>
  <si>
    <t>HOEILAART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</si>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</sst>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23033</v>
      </c>
      <c r="B6" s="397"/>
      <c r="C6" s="398"/>
    </row>
    <row r="7" spans="1:7" s="395" customFormat="1" ht="15.75" customHeight="1">
      <c r="A7" s="399" t="str">
        <f>txtMunicipality</f>
        <v>HOEILAART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23033</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4199</v>
      </c>
      <c r="C9" s="338">
        <v>4428</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90</v>
      </c>
    </row>
    <row r="15" spans="1:6">
      <c r="A15" s="1205" t="s">
        <v>184</v>
      </c>
      <c r="B15" s="335">
        <v>0</v>
      </c>
    </row>
    <row r="16" spans="1:6">
      <c r="A16" s="1205" t="s">
        <v>6</v>
      </c>
      <c r="B16" s="335">
        <v>0</v>
      </c>
    </row>
    <row r="17" spans="1:6">
      <c r="A17" s="1205" t="s">
        <v>7</v>
      </c>
      <c r="B17" s="335">
        <v>33</v>
      </c>
    </row>
    <row r="18" spans="1:6">
      <c r="A18" s="1205" t="s">
        <v>8</v>
      </c>
      <c r="B18" s="335">
        <v>34</v>
      </c>
    </row>
    <row r="19" spans="1:6">
      <c r="A19" s="1205" t="s">
        <v>9</v>
      </c>
      <c r="B19" s="335">
        <v>26</v>
      </c>
    </row>
    <row r="20" spans="1:6">
      <c r="A20" s="1205" t="s">
        <v>10</v>
      </c>
      <c r="B20" s="335">
        <v>17</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192</v>
      </c>
      <c r="C29" s="341"/>
      <c r="D29" s="341"/>
      <c r="E29" s="341"/>
      <c r="F29" s="341"/>
    </row>
    <row r="30" spans="1:6">
      <c r="A30" s="1201" t="s">
        <v>874</v>
      </c>
      <c r="B30" s="1201">
        <v>15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6602</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2751</v>
      </c>
      <c r="D39" s="335">
        <v>67366958.6559809</v>
      </c>
      <c r="E39" s="335">
        <v>4123</v>
      </c>
      <c r="F39" s="335">
        <v>18097110.127753299</v>
      </c>
    </row>
    <row r="40" spans="1:6">
      <c r="A40" s="1205" t="s">
        <v>30</v>
      </c>
      <c r="B40" s="1205" t="s">
        <v>29</v>
      </c>
      <c r="C40" s="335">
        <v>0</v>
      </c>
      <c r="D40" s="335">
        <v>0</v>
      </c>
      <c r="E40" s="335">
        <v>1</v>
      </c>
      <c r="F40" s="335">
        <v>8376.0039835555999</v>
      </c>
    </row>
    <row r="41" spans="1:6">
      <c r="A41" s="1205" t="s">
        <v>32</v>
      </c>
      <c r="B41" s="1205" t="s">
        <v>33</v>
      </c>
      <c r="C41" s="335">
        <v>11</v>
      </c>
      <c r="D41" s="335">
        <v>389793.36867262202</v>
      </c>
      <c r="E41" s="335">
        <v>51</v>
      </c>
      <c r="F41" s="335">
        <v>490596.78050160297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6</v>
      </c>
      <c r="F44" s="335">
        <v>58474.850399884002</v>
      </c>
    </row>
    <row r="45" spans="1:6">
      <c r="A45" s="1205" t="s">
        <v>32</v>
      </c>
      <c r="B45" s="1205" t="s">
        <v>37</v>
      </c>
      <c r="C45" s="335">
        <v>0</v>
      </c>
      <c r="D45" s="335">
        <v>0</v>
      </c>
      <c r="E45" s="335">
        <v>4</v>
      </c>
      <c r="F45" s="335">
        <v>691909.64944017003</v>
      </c>
    </row>
    <row r="46" spans="1:6">
      <c r="A46" s="1205" t="s">
        <v>32</v>
      </c>
      <c r="B46" s="1205" t="s">
        <v>38</v>
      </c>
      <c r="C46" s="335">
        <v>0</v>
      </c>
      <c r="D46" s="335">
        <v>0</v>
      </c>
      <c r="E46" s="335">
        <v>0</v>
      </c>
      <c r="F46" s="335">
        <v>0</v>
      </c>
    </row>
    <row r="47" spans="1:6">
      <c r="A47" s="1205" t="s">
        <v>32</v>
      </c>
      <c r="B47" s="1205" t="s">
        <v>39</v>
      </c>
      <c r="C47" s="335">
        <v>3</v>
      </c>
      <c r="D47" s="335">
        <v>199249.454812966</v>
      </c>
      <c r="E47" s="335">
        <v>3</v>
      </c>
      <c r="F47" s="335">
        <v>79562</v>
      </c>
    </row>
    <row r="48" spans="1:6">
      <c r="A48" s="1205" t="s">
        <v>32</v>
      </c>
      <c r="B48" s="1205" t="s">
        <v>29</v>
      </c>
      <c r="C48" s="335">
        <v>22</v>
      </c>
      <c r="D48" s="335">
        <v>881445.48320824502</v>
      </c>
      <c r="E48" s="335">
        <v>21</v>
      </c>
      <c r="F48" s="335">
        <v>230586.96337876501</v>
      </c>
    </row>
    <row r="49" spans="1:6">
      <c r="A49" s="1205" t="s">
        <v>32</v>
      </c>
      <c r="B49" s="1205" t="s">
        <v>40</v>
      </c>
      <c r="C49" s="335">
        <v>0</v>
      </c>
      <c r="D49" s="335">
        <v>0</v>
      </c>
      <c r="E49" s="335">
        <v>0</v>
      </c>
      <c r="F49" s="335">
        <v>0</v>
      </c>
    </row>
    <row r="50" spans="1:6">
      <c r="A50" s="1205" t="s">
        <v>32</v>
      </c>
      <c r="B50" s="1205" t="s">
        <v>41</v>
      </c>
      <c r="C50" s="335">
        <v>0</v>
      </c>
      <c r="D50" s="335">
        <v>0</v>
      </c>
      <c r="E50" s="335">
        <v>0</v>
      </c>
      <c r="F50" s="335">
        <v>0</v>
      </c>
    </row>
    <row r="51" spans="1:6">
      <c r="A51" s="1205" t="s">
        <v>42</v>
      </c>
      <c r="B51" s="1205" t="s">
        <v>43</v>
      </c>
      <c r="C51" s="335">
        <v>9</v>
      </c>
      <c r="D51" s="335">
        <v>200243.46463892399</v>
      </c>
      <c r="E51" s="335">
        <v>26</v>
      </c>
      <c r="F51" s="335">
        <v>75322.235992155998</v>
      </c>
    </row>
    <row r="52" spans="1:6">
      <c r="A52" s="1205" t="s">
        <v>42</v>
      </c>
      <c r="B52" s="1205" t="s">
        <v>29</v>
      </c>
      <c r="C52" s="335">
        <v>5</v>
      </c>
      <c r="D52" s="335">
        <v>126764.596441464</v>
      </c>
      <c r="E52" s="335">
        <v>8</v>
      </c>
      <c r="F52" s="335">
        <v>56408.956581988903</v>
      </c>
    </row>
    <row r="53" spans="1:6">
      <c r="A53" s="1205" t="s">
        <v>44</v>
      </c>
      <c r="B53" s="1205" t="s">
        <v>45</v>
      </c>
      <c r="C53" s="335">
        <v>45</v>
      </c>
      <c r="D53" s="335">
        <v>1556125.88878323</v>
      </c>
      <c r="E53" s="335">
        <v>102</v>
      </c>
      <c r="F53" s="335">
        <v>611866.45703993004</v>
      </c>
    </row>
    <row r="54" spans="1:6">
      <c r="A54" s="1205" t="s">
        <v>46</v>
      </c>
      <c r="B54" s="1205" t="s">
        <v>47</v>
      </c>
      <c r="C54" s="335">
        <v>0</v>
      </c>
      <c r="D54" s="335">
        <v>0</v>
      </c>
      <c r="E54" s="335">
        <v>1</v>
      </c>
      <c r="F54" s="335">
        <v>700342</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16</v>
      </c>
      <c r="D57" s="335">
        <v>955682.530129174</v>
      </c>
      <c r="E57" s="335">
        <v>71</v>
      </c>
      <c r="F57" s="335">
        <v>1306181.53096749</v>
      </c>
    </row>
    <row r="58" spans="1:6">
      <c r="A58" s="1205" t="s">
        <v>49</v>
      </c>
      <c r="B58" s="1205" t="s">
        <v>51</v>
      </c>
      <c r="C58" s="335">
        <v>6</v>
      </c>
      <c r="D58" s="335">
        <v>160301.03166943599</v>
      </c>
      <c r="E58" s="335">
        <v>10</v>
      </c>
      <c r="F58" s="335">
        <v>88913.933256479795</v>
      </c>
    </row>
    <row r="59" spans="1:6">
      <c r="A59" s="1205" t="s">
        <v>49</v>
      </c>
      <c r="B59" s="1205" t="s">
        <v>52</v>
      </c>
      <c r="C59" s="335">
        <v>28</v>
      </c>
      <c r="D59" s="335">
        <v>1525397.6347538</v>
      </c>
      <c r="E59" s="335">
        <v>74</v>
      </c>
      <c r="F59" s="335">
        <v>1832338.42400348</v>
      </c>
    </row>
    <row r="60" spans="1:6">
      <c r="A60" s="1205" t="s">
        <v>49</v>
      </c>
      <c r="B60" s="1205" t="s">
        <v>53</v>
      </c>
      <c r="C60" s="335">
        <v>20</v>
      </c>
      <c r="D60" s="335">
        <v>918753.53846661397</v>
      </c>
      <c r="E60" s="335">
        <v>24</v>
      </c>
      <c r="F60" s="335">
        <v>433270.11039835698</v>
      </c>
    </row>
    <row r="61" spans="1:6">
      <c r="A61" s="1205" t="s">
        <v>49</v>
      </c>
      <c r="B61" s="1205" t="s">
        <v>54</v>
      </c>
      <c r="C61" s="335">
        <v>140</v>
      </c>
      <c r="D61" s="335">
        <v>11594848.6186707</v>
      </c>
      <c r="E61" s="335">
        <v>241</v>
      </c>
      <c r="F61" s="335">
        <v>4814910.8331897799</v>
      </c>
    </row>
    <row r="62" spans="1:6">
      <c r="A62" s="1205" t="s">
        <v>49</v>
      </c>
      <c r="B62" s="1205" t="s">
        <v>55</v>
      </c>
      <c r="C62" s="335">
        <v>5</v>
      </c>
      <c r="D62" s="335">
        <v>482264.86974333902</v>
      </c>
      <c r="E62" s="335">
        <v>6</v>
      </c>
      <c r="F62" s="335">
        <v>173130.03390133</v>
      </c>
    </row>
    <row r="63" spans="1:6">
      <c r="A63" s="1205" t="s">
        <v>49</v>
      </c>
      <c r="B63" s="1205" t="s">
        <v>29</v>
      </c>
      <c r="C63" s="335">
        <v>72</v>
      </c>
      <c r="D63" s="335">
        <v>2669591.4980696398</v>
      </c>
      <c r="E63" s="335">
        <v>95</v>
      </c>
      <c r="F63" s="335">
        <v>1196185.1694509301</v>
      </c>
    </row>
    <row r="64" spans="1:6">
      <c r="A64" s="1205" t="s">
        <v>56</v>
      </c>
      <c r="B64" s="1205" t="s">
        <v>57</v>
      </c>
      <c r="C64" s="335">
        <v>0</v>
      </c>
      <c r="D64" s="335">
        <v>0</v>
      </c>
      <c r="E64" s="335">
        <v>0</v>
      </c>
      <c r="F64" s="335">
        <v>0</v>
      </c>
    </row>
    <row r="65" spans="1:6">
      <c r="A65" s="1205" t="s">
        <v>56</v>
      </c>
      <c r="B65" s="1205" t="s">
        <v>29</v>
      </c>
      <c r="C65" s="335">
        <v>0</v>
      </c>
      <c r="D65" s="335">
        <v>0</v>
      </c>
      <c r="E65" s="335">
        <v>1</v>
      </c>
      <c r="F65" s="335">
        <v>3530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149998.92983461701</v>
      </c>
      <c r="E68" s="335">
        <v>6</v>
      </c>
      <c r="F68" s="335">
        <v>39188.555335107398</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26281311</v>
      </c>
      <c r="E73" s="335">
        <v>26836177.625544626</v>
      </c>
    </row>
    <row r="74" spans="1:6">
      <c r="A74" s="1205" t="s">
        <v>64</v>
      </c>
      <c r="B74" s="1205" t="s">
        <v>772</v>
      </c>
      <c r="C74" s="1216" t="s">
        <v>766</v>
      </c>
      <c r="D74" s="335">
        <v>1078936.7677463326</v>
      </c>
      <c r="E74" s="335">
        <v>1094373.214116296</v>
      </c>
    </row>
    <row r="75" spans="1:6">
      <c r="A75" s="1205" t="s">
        <v>65</v>
      </c>
      <c r="B75" s="1205" t="s">
        <v>771</v>
      </c>
      <c r="C75" s="1216" t="s">
        <v>767</v>
      </c>
      <c r="D75" s="335">
        <v>37159860</v>
      </c>
      <c r="E75" s="335">
        <v>37910963.581685029</v>
      </c>
    </row>
    <row r="76" spans="1:6">
      <c r="A76" s="1205" t="s">
        <v>65</v>
      </c>
      <c r="B76" s="1205" t="s">
        <v>772</v>
      </c>
      <c r="C76" s="1216" t="s">
        <v>768</v>
      </c>
      <c r="D76" s="335">
        <v>1060884.7677463326</v>
      </c>
      <c r="E76" s="335">
        <v>1066478.4254253912</v>
      </c>
    </row>
    <row r="77" spans="1:6">
      <c r="A77" s="1205" t="s">
        <v>66</v>
      </c>
      <c r="B77" s="1205" t="s">
        <v>771</v>
      </c>
      <c r="C77" s="1216" t="s">
        <v>769</v>
      </c>
      <c r="D77" s="335">
        <v>157923088</v>
      </c>
      <c r="E77" s="335">
        <v>168141747.18114361</v>
      </c>
    </row>
    <row r="78" spans="1:6">
      <c r="A78" s="1201" t="s">
        <v>66</v>
      </c>
      <c r="B78" s="1201" t="s">
        <v>772</v>
      </c>
      <c r="C78" s="1201" t="s">
        <v>770</v>
      </c>
      <c r="D78" s="1201">
        <v>11218525</v>
      </c>
      <c r="E78" s="1201">
        <v>12309098.265565749</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330206.46450733463</v>
      </c>
      <c r="C83" s="335">
        <v>320048.04975246772</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952.70773731014208</v>
      </c>
    </row>
    <row r="92" spans="1:6">
      <c r="A92" s="1201" t="s">
        <v>69</v>
      </c>
      <c r="B92" s="338">
        <v>0</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1825</v>
      </c>
    </row>
    <row r="98" spans="1:6">
      <c r="A98" s="1205" t="s">
        <v>72</v>
      </c>
      <c r="B98" s="335">
        <v>3</v>
      </c>
    </row>
    <row r="99" spans="1:6">
      <c r="A99" s="1205" t="s">
        <v>73</v>
      </c>
      <c r="B99" s="335">
        <v>27</v>
      </c>
    </row>
    <row r="100" spans="1:6">
      <c r="A100" s="1205" t="s">
        <v>74</v>
      </c>
      <c r="B100" s="335">
        <v>215</v>
      </c>
    </row>
    <row r="101" spans="1:6">
      <c r="A101" s="1205" t="s">
        <v>75</v>
      </c>
      <c r="B101" s="335">
        <v>32</v>
      </c>
    </row>
    <row r="102" spans="1:6">
      <c r="A102" s="1205" t="s">
        <v>76</v>
      </c>
      <c r="B102" s="335">
        <v>57</v>
      </c>
    </row>
    <row r="103" spans="1:6">
      <c r="A103" s="1205" t="s">
        <v>77</v>
      </c>
      <c r="B103" s="335">
        <v>75</v>
      </c>
    </row>
    <row r="104" spans="1:6">
      <c r="A104" s="1205" t="s">
        <v>78</v>
      </c>
      <c r="B104" s="335">
        <v>1529</v>
      </c>
    </row>
    <row r="105" spans="1:6">
      <c r="A105" s="1201" t="s">
        <v>79</v>
      </c>
      <c r="B105" s="1201">
        <v>3</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14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46</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31290.984850864887</v>
      </c>
      <c r="C3" s="44" t="s">
        <v>170</v>
      </c>
      <c r="D3" s="44"/>
      <c r="E3" s="157"/>
      <c r="F3" s="44"/>
      <c r="G3" s="44"/>
      <c r="H3" s="44"/>
      <c r="I3" s="44"/>
      <c r="J3" s="44"/>
      <c r="K3" s="97"/>
    </row>
    <row r="4" spans="1:11">
      <c r="A4" s="365" t="s">
        <v>171</v>
      </c>
      <c r="B4" s="50">
        <f>IF(ISERROR('SEAP template'!B69),0,'SEAP template'!B69)</f>
        <v>952.70773731014208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0.21427127570611695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700.34199999999998</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700.34199999999998</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0.21427127570611695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150.06317377057334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18105.486131736856</v>
      </c>
      <c r="C5" s="18">
        <f>IF(ISERROR('Eigen informatie GS &amp; warmtenet'!B57),0,'Eigen informatie GS &amp; warmtenet'!B57)</f>
        <v>0</v>
      </c>
      <c r="D5" s="31">
        <f>(SUM(HH_hh_gas_kWh,HH_rest_gas_kWh)/1000)*0.902</f>
        <v>60764.996707694772</v>
      </c>
      <c r="E5" s="18">
        <f>B46*B57</f>
        <v>1616.4445233786919</v>
      </c>
      <c r="F5" s="18">
        <f>B51*B62</f>
        <v>13731.063511871555</v>
      </c>
      <c r="G5" s="19"/>
      <c r="H5" s="18"/>
      <c r="I5" s="18"/>
      <c r="J5" s="18">
        <f>B50*B61+C50*C61</f>
        <v>0</v>
      </c>
      <c r="K5" s="18"/>
      <c r="L5" s="18"/>
      <c r="M5" s="18"/>
      <c r="N5" s="18">
        <f>B48*B59+C48*C59</f>
        <v>6221.5966602018079</v>
      </c>
      <c r="O5" s="18">
        <f>B69*B70*B71</f>
        <v>93.8</v>
      </c>
      <c r="P5" s="18">
        <f>B77*B78*B79/1000-B77*B78*B79/1000/B80</f>
        <v>152.53333333333333</v>
      </c>
    </row>
    <row r="6" spans="1:16">
      <c r="A6" s="17" t="s">
        <v>639</v>
      </c>
      <c r="B6" s="831">
        <f>kWh_PV_kleiner_dan_10kW</f>
        <v>952.70773731014208</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19058.193869046998</v>
      </c>
      <c r="C8" s="22">
        <f>C5</f>
        <v>0</v>
      </c>
      <c r="D8" s="22">
        <f>D5</f>
        <v>60764.996707694772</v>
      </c>
      <c r="E8" s="22">
        <f>E5</f>
        <v>1616.4445233786919</v>
      </c>
      <c r="F8" s="22">
        <f>F5</f>
        <v>13731.063511871555</v>
      </c>
      <c r="G8" s="22"/>
      <c r="H8" s="22"/>
      <c r="I8" s="22"/>
      <c r="J8" s="22">
        <f>J5</f>
        <v>0</v>
      </c>
      <c r="K8" s="22"/>
      <c r="L8" s="22">
        <f>L5</f>
        <v>0</v>
      </c>
      <c r="M8" s="22">
        <f>M5</f>
        <v>0</v>
      </c>
      <c r="N8" s="22">
        <f>N5</f>
        <v>6221.5966602018079</v>
      </c>
      <c r="O8" s="22">
        <f>O5</f>
        <v>93.8</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0.21427127570611695</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4083.6235129751972</v>
      </c>
      <c r="C12" s="24">
        <f ca="1">C10*C8</f>
        <v>0</v>
      </c>
      <c r="D12" s="24">
        <f>D8*D10</f>
        <v>12274.529334954344</v>
      </c>
      <c r="E12" s="24">
        <f>E10*E8</f>
        <v>366.93290680696305</v>
      </c>
      <c r="F12" s="24">
        <f>F10*F8</f>
        <v>3666.1939576697055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1825</v>
      </c>
      <c r="C18" s="169" t="s">
        <v>111</v>
      </c>
      <c r="D18" s="231"/>
      <c r="E18" s="16"/>
    </row>
    <row r="19" spans="1:7">
      <c r="A19" s="174" t="s">
        <v>72</v>
      </c>
      <c r="B19" s="38">
        <f>aantalw2001_ander</f>
        <v>3</v>
      </c>
      <c r="C19" s="169" t="s">
        <v>111</v>
      </c>
      <c r="D19" s="232"/>
      <c r="E19" s="16"/>
    </row>
    <row r="20" spans="1:7">
      <c r="A20" s="174" t="s">
        <v>73</v>
      </c>
      <c r="B20" s="38">
        <f>aantalw2001_propaan</f>
        <v>27</v>
      </c>
      <c r="C20" s="170">
        <f>IF(ISERROR(B20/SUM($B$20,$B$21,$B$22)*100),0,B20/SUM($B$20,$B$21,$B$22)*100)</f>
        <v>9.8540145985401466</v>
      </c>
      <c r="D20" s="232"/>
      <c r="E20" s="16"/>
    </row>
    <row r="21" spans="1:7">
      <c r="A21" s="174" t="s">
        <v>74</v>
      </c>
      <c r="B21" s="38">
        <f>aantalw2001_elektriciteit</f>
        <v>215</v>
      </c>
      <c r="C21" s="170">
        <f>IF(ISERROR(B21/SUM($B$20,$B$21,$B$22)*100),0,B21/SUM($B$20,$B$21,$B$22)*100)</f>
        <v>78.467153284671525</v>
      </c>
      <c r="D21" s="232"/>
      <c r="E21" s="16"/>
    </row>
    <row r="22" spans="1:7">
      <c r="A22" s="174" t="s">
        <v>75</v>
      </c>
      <c r="B22" s="38">
        <f>aantalw2001_hout</f>
        <v>32</v>
      </c>
      <c r="C22" s="170">
        <f>IF(ISERROR(B22/SUM($B$20,$B$21,$B$22)*100),0,B22/SUM($B$20,$B$21,$B$22)*100)</f>
        <v>11.678832116788321</v>
      </c>
      <c r="D22" s="232"/>
      <c r="E22" s="16"/>
    </row>
    <row r="23" spans="1:7">
      <c r="A23" s="174" t="s">
        <v>76</v>
      </c>
      <c r="B23" s="38">
        <f>aantalw2001_niet_gespec</f>
        <v>57</v>
      </c>
      <c r="C23" s="169" t="s">
        <v>111</v>
      </c>
      <c r="D23" s="231"/>
      <c r="E23" s="16"/>
    </row>
    <row r="24" spans="1:7">
      <c r="A24" s="174" t="s">
        <v>77</v>
      </c>
      <c r="B24" s="38">
        <f>aantalw2001_steenkool</f>
        <v>75</v>
      </c>
      <c r="C24" s="169" t="s">
        <v>111</v>
      </c>
      <c r="D24" s="232"/>
      <c r="E24" s="16"/>
    </row>
    <row r="25" spans="1:7">
      <c r="A25" s="174" t="s">
        <v>78</v>
      </c>
      <c r="B25" s="38">
        <f>aantalw2001_stookolie</f>
        <v>1529</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4199</v>
      </c>
      <c r="C28" s="37"/>
      <c r="D28" s="231"/>
    </row>
    <row r="29" spans="1:7" s="16" customFormat="1">
      <c r="A29" s="233" t="s">
        <v>666</v>
      </c>
      <c r="B29" s="38">
        <f>SUM(HH_hh_gas_aantal,HH_rest_gas_aantal)</f>
        <v>2751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2751</v>
      </c>
      <c r="C32" s="170">
        <f>IF(ISERROR(B32/SUM($B$32,$B$34,$B$35,$B$36,$B$38,$B$39)*100),0,B32/SUM($B$32,$B$34,$B$35,$B$36,$B$38,$B$39)*100)</f>
        <v>65.640658554044379</v>
      </c>
      <c r="D32" s="236"/>
      <c r="G32" s="16"/>
    </row>
    <row r="33" spans="1:7">
      <c r="A33" s="174" t="s">
        <v>72</v>
      </c>
      <c r="B33" s="35" t="s">
        <v>111</v>
      </c>
      <c r="C33" s="170"/>
      <c r="D33" s="236"/>
      <c r="G33" s="16"/>
    </row>
    <row r="34" spans="1:7">
      <c r="A34" s="174" t="s">
        <v>73</v>
      </c>
      <c r="B34" s="34">
        <f>IF((($B$28-$B$32-$B$39-$B$77-$B$38)*C20/100)&lt;0,0,($B$28-$B$32-$B$39-$B$77-$B$38)*C20/100)</f>
        <v>73.353284671532847</v>
      </c>
      <c r="C34" s="170">
        <f>IF(ISERROR(B34/SUM($B$32,$B$34,$B$35,$B$36,$B$38,$B$39)*100),0,B34/SUM($B$32,$B$34,$B$35,$B$36,$B$38,$B$39)*100)</f>
        <v>1.750257329313597</v>
      </c>
      <c r="D34" s="236"/>
      <c r="G34" s="16"/>
    </row>
    <row r="35" spans="1:7">
      <c r="A35" s="174" t="s">
        <v>74</v>
      </c>
      <c r="B35" s="34">
        <f>IF((($B$28-$B$32-$B$39-$B$77-$B$38)*C21/100)&lt;0,0,($B$28-$B$32-$B$39-$B$77-$B$38)*C21/100)</f>
        <v>584.10948905109478</v>
      </c>
      <c r="C35" s="170">
        <f>IF(ISERROR(B35/SUM($B$32,$B$34,$B$35,$B$36,$B$38,$B$39)*100),0,B35/SUM($B$32,$B$34,$B$35,$B$36,$B$38,$B$39)*100)</f>
        <v>13.93723428897864</v>
      </c>
      <c r="D35" s="236"/>
      <c r="G35" s="16"/>
    </row>
    <row r="36" spans="1:7">
      <c r="A36" s="174" t="s">
        <v>75</v>
      </c>
      <c r="B36" s="34">
        <f>IF((($B$28-$B$32-$B$39-$B$77-$B$38)*C22/100)&lt;0,0,($B$28-$B$32-$B$39-$B$77-$B$38)*C22/100)</f>
        <v>86.937226277372261</v>
      </c>
      <c r="C36" s="170">
        <f>IF(ISERROR(B36/SUM($B$32,$B$34,$B$35,$B$36,$B$38,$B$39)*100),0,B36/SUM($B$32,$B$34,$B$35,$B$36,$B$38,$B$39)*100)</f>
        <v>2.0743790569642631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695.6</v>
      </c>
      <c r="C39" s="170">
        <f>IF(ISERROR(B39/SUM($B$32,$B$34,$B$35,$B$36,$B$38,$B$39)*100),0,B39/SUM($B$32,$B$34,$B$35,$B$36,$B$38,$B$39)*100)</f>
        <v>16.597470770699118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2751</v>
      </c>
      <c r="C44" s="35" t="s">
        <v>111</v>
      </c>
      <c r="D44" s="177"/>
    </row>
    <row r="45" spans="1:7">
      <c r="A45" s="174" t="s">
        <v>72</v>
      </c>
      <c r="B45" s="34" t="str">
        <f t="shared" si="0"/>
        <v>-</v>
      </c>
      <c r="C45" s="35" t="s">
        <v>111</v>
      </c>
      <c r="D45" s="177"/>
    </row>
    <row r="46" spans="1:7">
      <c r="A46" s="174" t="s">
        <v>73</v>
      </c>
      <c r="B46" s="34">
        <f t="shared" si="0"/>
        <v>73.353284671532847</v>
      </c>
      <c r="C46" s="35" t="s">
        <v>111</v>
      </c>
      <c r="D46" s="177"/>
    </row>
    <row r="47" spans="1:7">
      <c r="A47" s="174" t="s">
        <v>74</v>
      </c>
      <c r="B47" s="34">
        <f t="shared" si="0"/>
        <v>584.10948905109478</v>
      </c>
      <c r="C47" s="35" t="s">
        <v>111</v>
      </c>
      <c r="D47" s="177"/>
    </row>
    <row r="48" spans="1:7">
      <c r="A48" s="174" t="s">
        <v>75</v>
      </c>
      <c r="B48" s="34">
        <f t="shared" si="0"/>
        <v>86.937226277372261</v>
      </c>
      <c r="C48" s="34">
        <f>B48*10</f>
        <v>869.37226277372258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695.6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60</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9844.9300351678467</v>
      </c>
      <c r="C5" s="18">
        <f>IF(ISERROR('Eigen informatie GS &amp; warmtenet'!B58),0,'Eigen informatie GS &amp; warmtenet'!B58)</f>
        <v>0</v>
      </c>
      <c r="D5" s="31">
        <f>SUM(D6:D12)</f>
        <v>16512.769428795436</v>
      </c>
      <c r="E5" s="18">
        <f>SUM(E6:E12)</f>
        <v>61.469338161168125</v>
      </c>
      <c r="F5" s="18">
        <f>SUM(F6:F12)</f>
        <v>1758.0302312927031</v>
      </c>
      <c r="G5" s="19"/>
      <c r="H5" s="18"/>
      <c r="I5" s="18"/>
      <c r="J5" s="18">
        <f>SUM(J6:J12)</f>
        <v>0</v>
      </c>
      <c r="K5" s="18"/>
      <c r="L5" s="18"/>
      <c r="M5" s="18"/>
      <c r="N5" s="18">
        <f>SUM(N6:N12)</f>
        <v>843.6310734323838</v>
      </c>
      <c r="O5" s="18">
        <f>B38*B39*B40</f>
        <v>0</v>
      </c>
      <c r="P5" s="18">
        <f>B46*B47*B48/1000-B46*B47*B48/1000/B49</f>
        <v>0</v>
      </c>
      <c r="R5" s="33"/>
    </row>
    <row r="6" spans="1:18">
      <c r="A6" s="33" t="s">
        <v>54</v>
      </c>
      <c r="B6" s="38">
        <f>B26</f>
        <v>4814.9108331897796</v>
      </c>
      <c r="C6" s="34"/>
      <c r="D6" s="38">
        <f>IF(ISERROR(TER_kantoor_gas_kWh/1000),0,TER_kantoor_gas_kWh/1000)*0.902</f>
        <v>10458.553454040972</v>
      </c>
      <c r="E6" s="34">
        <f>$C$26*'E Balans VL '!I12/100/3.6*1000000</f>
        <v>7.9022445434053044</v>
      </c>
      <c r="F6" s="34">
        <f>$C$26*('E Balans VL '!L12+'E Balans VL '!N12)/100/3.6*1000000</f>
        <v>567.56469853326121</v>
      </c>
      <c r="G6" s="35"/>
      <c r="H6" s="34"/>
      <c r="I6" s="34"/>
      <c r="J6" s="34">
        <f>$C$26*('E Balans VL '!D12+'E Balans VL '!E12)/100/3.6*1000000</f>
        <v>0</v>
      </c>
      <c r="K6" s="34"/>
      <c r="L6" s="34"/>
      <c r="M6" s="34"/>
      <c r="N6" s="34">
        <f>$C$26*'E Balans VL '!Y12/100/3.6*1000000</f>
        <v>0.97282993337658474</v>
      </c>
      <c r="O6" s="34"/>
      <c r="P6" s="34"/>
      <c r="R6" s="33"/>
    </row>
    <row r="7" spans="1:18">
      <c r="A7" s="33" t="s">
        <v>53</v>
      </c>
      <c r="B7" s="38">
        <f t="shared" ref="B7:B12" si="0">B27</f>
        <v>433.27011039835696</v>
      </c>
      <c r="C7" s="34"/>
      <c r="D7" s="38">
        <f>IF(ISERROR(TER_horeca_gas_kWh/1000),0,TER_horeca_gas_kWh/1000)*0.902</f>
        <v>828.71569169688576</v>
      </c>
      <c r="E7" s="34">
        <f>$C$27*'E Balans VL '!I9/100/3.6*1000000</f>
        <v>22.483583520064908</v>
      </c>
      <c r="F7" s="34">
        <f>$C$27*('E Balans VL '!L9+'E Balans VL '!N9)/100/3.6*1000000</f>
        <v>98.872553575255324</v>
      </c>
      <c r="G7" s="35"/>
      <c r="H7" s="34"/>
      <c r="I7" s="34"/>
      <c r="J7" s="34">
        <f>$C$27*('E Balans VL '!D9+'E Balans VL '!E9)/100/3.6*1000000</f>
        <v>0</v>
      </c>
      <c r="K7" s="34"/>
      <c r="L7" s="34"/>
      <c r="M7" s="34"/>
      <c r="N7" s="34">
        <f>$C$27*'E Balans VL '!Y9/100/3.6*1000000</f>
        <v>4.5753125103375994E-2</v>
      </c>
      <c r="O7" s="34"/>
      <c r="P7" s="34"/>
      <c r="R7" s="33"/>
    </row>
    <row r="8" spans="1:18">
      <c r="A8" s="6" t="s">
        <v>52</v>
      </c>
      <c r="B8" s="38">
        <f t="shared" si="0"/>
        <v>1832.33842400348</v>
      </c>
      <c r="C8" s="34"/>
      <c r="D8" s="38">
        <f>IF(ISERROR(TER_handel_gas_kWh/1000),0,TER_handel_gas_kWh/1000)*0.902</f>
        <v>1375.9086665479276</v>
      </c>
      <c r="E8" s="34">
        <f>$C$28*'E Balans VL '!I13/100/3.6*1000000</f>
        <v>9.8673675777242735</v>
      </c>
      <c r="F8" s="34">
        <f>$C$28*('E Balans VL '!L13+'E Balans VL '!N13)/100/3.6*1000000</f>
        <v>373.6682568479381</v>
      </c>
      <c r="G8" s="35"/>
      <c r="H8" s="34"/>
      <c r="I8" s="34"/>
      <c r="J8" s="34">
        <f>$C$28*('E Balans VL '!D13+'E Balans VL '!E13)/100/3.6*1000000</f>
        <v>0</v>
      </c>
      <c r="K8" s="34"/>
      <c r="L8" s="34"/>
      <c r="M8" s="34"/>
      <c r="N8" s="34">
        <f>$C$28*'E Balans VL '!Y13/100/3.6*1000000</f>
        <v>9.1112513523707577</v>
      </c>
      <c r="O8" s="34"/>
      <c r="P8" s="34"/>
      <c r="R8" s="33"/>
    </row>
    <row r="9" spans="1:18">
      <c r="A9" s="33" t="s">
        <v>51</v>
      </c>
      <c r="B9" s="38">
        <f t="shared" si="0"/>
        <v>88.913933256479794</v>
      </c>
      <c r="C9" s="34"/>
      <c r="D9" s="38">
        <f>IF(ISERROR(TER_gezond_gas_kWh/1000),0,TER_gezond_gas_kWh/1000)*0.902</f>
        <v>144.59153056583125</v>
      </c>
      <c r="E9" s="34">
        <f>$C$29*'E Balans VL '!I10/100/3.6*1000000</f>
        <v>8.8114718982235801E-2</v>
      </c>
      <c r="F9" s="34">
        <f>$C$29*('E Balans VL '!L10+'E Balans VL '!N10)/100/3.6*1000000</f>
        <v>30.850571994194304</v>
      </c>
      <c r="G9" s="35"/>
      <c r="H9" s="34"/>
      <c r="I9" s="34"/>
      <c r="J9" s="34">
        <f>$C$29*('E Balans VL '!D10+'E Balans VL '!E10)/100/3.6*1000000</f>
        <v>0</v>
      </c>
      <c r="K9" s="34"/>
      <c r="L9" s="34"/>
      <c r="M9" s="34"/>
      <c r="N9" s="34">
        <f>$C$29*'E Balans VL '!Y10/100/3.6*1000000</f>
        <v>0.76616366029397687</v>
      </c>
      <c r="O9" s="34"/>
      <c r="P9" s="34"/>
      <c r="R9" s="33"/>
    </row>
    <row r="10" spans="1:18">
      <c r="A10" s="33" t="s">
        <v>50</v>
      </c>
      <c r="B10" s="38">
        <f t="shared" si="0"/>
        <v>1306.1815309674901</v>
      </c>
      <c r="C10" s="34"/>
      <c r="D10" s="38">
        <f>IF(ISERROR(TER_ander_gas_kWh/1000),0,TER_ander_gas_kWh/1000)*0.902</f>
        <v>862.02564217651491</v>
      </c>
      <c r="E10" s="34">
        <f>$C$30*'E Balans VL '!I14/100/3.6*1000000</f>
        <v>10.68587035878398</v>
      </c>
      <c r="F10" s="34">
        <f>$C$30*('E Balans VL '!L14+'E Balans VL '!N14)/100/3.6*1000000</f>
        <v>381.8743028023693</v>
      </c>
      <c r="G10" s="35"/>
      <c r="H10" s="34"/>
      <c r="I10" s="34"/>
      <c r="J10" s="34">
        <f>$C$30*('E Balans VL '!D14+'E Balans VL '!E14)/100/3.6*1000000</f>
        <v>0</v>
      </c>
      <c r="K10" s="34"/>
      <c r="L10" s="34"/>
      <c r="M10" s="34"/>
      <c r="N10" s="34">
        <f>$C$30*'E Balans VL '!Y14/100/3.6*1000000</f>
        <v>753.49535787025911</v>
      </c>
      <c r="O10" s="34"/>
      <c r="P10" s="34"/>
      <c r="R10" s="33"/>
    </row>
    <row r="11" spans="1:18">
      <c r="A11" s="33" t="s">
        <v>55</v>
      </c>
      <c r="B11" s="38">
        <f t="shared" si="0"/>
        <v>173.13003390132999</v>
      </c>
      <c r="C11" s="34"/>
      <c r="D11" s="38">
        <f>IF(ISERROR(TER_onderwijs_gas_kWh/1000),0,TER_onderwijs_gas_kWh/1000)*0.902</f>
        <v>435.00291250849182</v>
      </c>
      <c r="E11" s="34">
        <f>$C$31*'E Balans VL '!I11/100/3.6*1000000</f>
        <v>0.10671004781538776</v>
      </c>
      <c r="F11" s="34">
        <f>$C$31*('E Balans VL '!L11+'E Balans VL '!N11)/100/3.6*1000000</f>
        <v>66.934874889901664</v>
      </c>
      <c r="G11" s="35"/>
      <c r="H11" s="34"/>
      <c r="I11" s="34"/>
      <c r="J11" s="34">
        <f>$C$31*('E Balans VL '!D11+'E Balans VL '!E11)/100/3.6*1000000</f>
        <v>0</v>
      </c>
      <c r="K11" s="34"/>
      <c r="L11" s="34"/>
      <c r="M11" s="34"/>
      <c r="N11" s="34">
        <f>$C$31*'E Balans VL '!Y11/100/3.6*1000000</f>
        <v>0.56315489930692064</v>
      </c>
      <c r="O11" s="34"/>
      <c r="P11" s="34"/>
      <c r="R11" s="33"/>
    </row>
    <row r="12" spans="1:18">
      <c r="A12" s="33" t="s">
        <v>260</v>
      </c>
      <c r="B12" s="38">
        <f t="shared" si="0"/>
        <v>1196.1851694509301</v>
      </c>
      <c r="C12" s="34"/>
      <c r="D12" s="38">
        <f>IF(ISERROR(TER_rest_gas_kWh/1000),0,TER_rest_gas_kWh/1000)*0.902</f>
        <v>2407.971531258815</v>
      </c>
      <c r="E12" s="34">
        <f>$C$32*'E Balans VL '!I8/100/3.6*1000000</f>
        <v>10.335447394392032</v>
      </c>
      <c r="F12" s="34">
        <f>$C$32*('E Balans VL '!L8+'E Balans VL '!N8)/100/3.6*1000000</f>
        <v>238.26497264978292</v>
      </c>
      <c r="G12" s="35"/>
      <c r="H12" s="34"/>
      <c r="I12" s="34"/>
      <c r="J12" s="34">
        <f>$C$32*('E Balans VL '!D8+'E Balans VL '!E8)/100/3.6*1000000</f>
        <v>0</v>
      </c>
      <c r="K12" s="34"/>
      <c r="L12" s="34"/>
      <c r="M12" s="34"/>
      <c r="N12" s="34">
        <f>$C$32*'E Balans VL '!Y8/100/3.6*1000000</f>
        <v>78.676562591673061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9844.9300351678467</v>
      </c>
      <c r="C16" s="22">
        <f t="shared" ca="1" si="1"/>
        <v>0</v>
      </c>
      <c r="D16" s="22">
        <f t="shared" ca="1" si="1"/>
        <v>16512.769428795436</v>
      </c>
      <c r="E16" s="22">
        <f t="shared" si="1"/>
        <v>61.469338161168125</v>
      </c>
      <c r="F16" s="22">
        <f t="shared" ca="1" si="1"/>
        <v>1758.0302312927031</v>
      </c>
      <c r="G16" s="22">
        <f t="shared" si="1"/>
        <v>0</v>
      </c>
      <c r="H16" s="22">
        <f t="shared" si="1"/>
        <v>0</v>
      </c>
      <c r="I16" s="22">
        <f t="shared" si="1"/>
        <v>0</v>
      </c>
      <c r="J16" s="22">
        <f t="shared" si="1"/>
        <v>0</v>
      </c>
      <c r="K16" s="22">
        <f t="shared" si="1"/>
        <v>0</v>
      </c>
      <c r="L16" s="22">
        <f t="shared" ca="1" si="1"/>
        <v>0</v>
      </c>
      <c r="M16" s="22">
        <f t="shared" si="1"/>
        <v>0</v>
      </c>
      <c r="N16" s="22">
        <f t="shared" ca="1" si="1"/>
        <v>843.6310734323838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0.21427127570611695</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2109.4857178728812</v>
      </c>
      <c r="C20" s="24">
        <f t="shared" ref="C20:P20" ca="1" si="2">C16*C18</f>
        <v>0</v>
      </c>
      <c r="D20" s="24">
        <f t="shared" ca="1" si="2"/>
        <v>3335.5794246166784</v>
      </c>
      <c r="E20" s="24">
        <f t="shared" si="2"/>
        <v>13.953539762585164</v>
      </c>
      <c r="F20" s="24">
        <f t="shared" ca="1" si="2"/>
        <v>469.39407175515174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4814.9108331897796</v>
      </c>
      <c r="C26" s="40">
        <f>IF(ISERROR(B26*3.6/1000000/'E Balans VL '!Z12*100),0,B26*3.6/1000000/'E Balans VL '!Z12*100)</f>
        <v>0.10231340228325168</v>
      </c>
      <c r="D26" s="240" t="s">
        <v>707</v>
      </c>
      <c r="F26" s="6"/>
    </row>
    <row r="27" spans="1:18">
      <c r="A27" s="234" t="s">
        <v>53</v>
      </c>
      <c r="B27" s="34">
        <f>IF(ISERROR(TER_horeca_ele_kWh/1000),0,TER_horeca_ele_kWh/1000)</f>
        <v>433.27011039835696</v>
      </c>
      <c r="C27" s="40">
        <f>IF(ISERROR(B27*3.6/1000000/'E Balans VL '!Z9*100),0,B27*3.6/1000000/'E Balans VL '!Z9*100)</f>
        <v>3.4101708151584594E-2</v>
      </c>
      <c r="D27" s="240" t="s">
        <v>707</v>
      </c>
      <c r="F27" s="6"/>
    </row>
    <row r="28" spans="1:18">
      <c r="A28" s="174" t="s">
        <v>52</v>
      </c>
      <c r="B28" s="34">
        <f>IF(ISERROR(TER_handel_ele_kWh/1000),0,TER_handel_ele_kWh/1000)</f>
        <v>1832.33842400348</v>
      </c>
      <c r="C28" s="40">
        <f>IF(ISERROR(B28*3.6/1000000/'E Balans VL '!Z13*100),0,B28*3.6/1000000/'E Balans VL '!Z13*100)</f>
        <v>5.1324779885147061E-2</v>
      </c>
      <c r="D28" s="240" t="s">
        <v>707</v>
      </c>
      <c r="F28" s="6"/>
    </row>
    <row r="29" spans="1:18">
      <c r="A29" s="234" t="s">
        <v>51</v>
      </c>
      <c r="B29" s="34">
        <f>IF(ISERROR(TER_gezond_ele_kWh/1000),0,TER_gezond_ele_kWh/1000)</f>
        <v>88.913933256479794</v>
      </c>
      <c r="C29" s="40">
        <f>IF(ISERROR(B29*3.6/1000000/'E Balans VL '!Z10*100),0,B29*3.6/1000000/'E Balans VL '!Z10*100)</f>
        <v>1.1374780712561736E-2</v>
      </c>
      <c r="D29" s="240" t="s">
        <v>707</v>
      </c>
      <c r="F29" s="6"/>
    </row>
    <row r="30" spans="1:18">
      <c r="A30" s="234" t="s">
        <v>50</v>
      </c>
      <c r="B30" s="34">
        <f>IF(ISERROR(TER_ander_ele_kWh/1000),0,TER_ander_ele_kWh/1000)</f>
        <v>1306.1815309674901</v>
      </c>
      <c r="C30" s="40">
        <f>IF(ISERROR(B30*3.6/1000000/'E Balans VL '!Z14*100),0,B30*3.6/1000000/'E Balans VL '!Z14*100)</f>
        <v>9.7691372438524243E-2</v>
      </c>
      <c r="D30" s="240" t="s">
        <v>707</v>
      </c>
      <c r="F30" s="6"/>
    </row>
    <row r="31" spans="1:18">
      <c r="A31" s="234" t="s">
        <v>55</v>
      </c>
      <c r="B31" s="34">
        <f>IF(ISERROR(TER_onderwijs_ele_kWh/1000),0,TER_onderwijs_ele_kWh/1000)</f>
        <v>173.13003390132999</v>
      </c>
      <c r="C31" s="40">
        <f>IF(ISERROR(B31*3.6/1000000/'E Balans VL '!Z11*100),0,B31*3.6/1000000/'E Balans VL '!Z11*100)</f>
        <v>3.6556630918982196E-2</v>
      </c>
      <c r="D31" s="240" t="s">
        <v>707</v>
      </c>
    </row>
    <row r="32" spans="1:18">
      <c r="A32" s="234" t="s">
        <v>260</v>
      </c>
      <c r="B32" s="34">
        <f>IF(ISERROR(TER_rest_ele_kWh/1000),0,TER_rest_ele_kWh/1000)</f>
        <v>1196.1851694509301</v>
      </c>
      <c r="C32" s="40">
        <f>IF(ISERROR(B32*3.6/1000000/'E Balans VL '!Z8*100),0,B32*3.6/1000000/'E Balans VL '!Z8*100)</f>
        <v>9.8540921636231966E-3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1551.130243720422</v>
      </c>
      <c r="C5" s="18">
        <f>IF(ISERROR('Eigen informatie GS &amp; warmtenet'!B59),0,'Eigen informatie GS &amp; warmtenet'!B59)</f>
        <v>0</v>
      </c>
      <c r="D5" s="31">
        <f>SUM(D6:D15)</f>
        <v>1326.3804526378374</v>
      </c>
      <c r="E5" s="18">
        <f>SUM(E6:E15)</f>
        <v>25.691363759234175</v>
      </c>
      <c r="F5" s="18">
        <f>SUM(F6:F15)</f>
        <v>648.00861431375722</v>
      </c>
      <c r="G5" s="19"/>
      <c r="H5" s="18"/>
      <c r="I5" s="18"/>
      <c r="J5" s="18">
        <f>SUM(J6:J15)</f>
        <v>6.7343869117435986</v>
      </c>
      <c r="K5" s="18"/>
      <c r="L5" s="18"/>
      <c r="M5" s="18"/>
      <c r="N5" s="18">
        <f>SUM(N6:N15)</f>
        <v>73.726179922318209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58.474850399884005</v>
      </c>
      <c r="C8" s="34"/>
      <c r="D8" s="38">
        <f>IF( ISERROR(IND_metaal_Gas_kWH/1000),0,IND_metaal_Gas_kWH/1000)*0.902</f>
        <v>0</v>
      </c>
      <c r="E8" s="34">
        <f>C30*'E Balans VL '!I18/100/3.6*1000000</f>
        <v>0.53251992470127785</v>
      </c>
      <c r="F8" s="34">
        <f>C30*'E Balans VL '!L18/100/3.6*1000000+C30*'E Balans VL '!N18/100/3.6*1000000</f>
        <v>7.7123887021036968</v>
      </c>
      <c r="G8" s="35"/>
      <c r="H8" s="34"/>
      <c r="I8" s="34"/>
      <c r="J8" s="41">
        <f>C30*'E Balans VL '!D18/100/3.6*1000000+C30*'E Balans VL '!E18/100/3.6*1000000</f>
        <v>0.95890264413256177</v>
      </c>
      <c r="K8" s="34"/>
      <c r="L8" s="34"/>
      <c r="M8" s="34"/>
      <c r="N8" s="34">
        <f>C30*'E Balans VL '!Y18/100/3.6*1000000</f>
        <v>0.20095483174966705</v>
      </c>
      <c r="O8" s="34"/>
      <c r="P8" s="34"/>
      <c r="R8" s="33"/>
    </row>
    <row r="9" spans="1:18">
      <c r="A9" s="6" t="s">
        <v>33</v>
      </c>
      <c r="B9" s="38">
        <f t="shared" si="0"/>
        <v>490.59678050160295</v>
      </c>
      <c r="C9" s="34"/>
      <c r="D9" s="38">
        <f>IF( ISERROR(IND_andere_gas_kWh/1000),0,IND_andere_gas_kWh/1000)*0.902</f>
        <v>351.59361854270509</v>
      </c>
      <c r="E9" s="34">
        <f>C31*'E Balans VL '!I19/100/3.6*1000000</f>
        <v>2.8357227049241223</v>
      </c>
      <c r="F9" s="34">
        <f>C31*'E Balans VL '!L19/100/3.6*1000000+C31*'E Balans VL '!N19/100/3.6*1000000</f>
        <v>390.29334547195606</v>
      </c>
      <c r="G9" s="35"/>
      <c r="H9" s="34"/>
      <c r="I9" s="34"/>
      <c r="J9" s="41">
        <f>C31*'E Balans VL '!D19/100/3.6*1000000+C31*'E Balans VL '!E19/100/3.6*1000000</f>
        <v>4.6405006040761379E-2</v>
      </c>
      <c r="K9" s="34"/>
      <c r="L9" s="34"/>
      <c r="M9" s="34"/>
      <c r="N9" s="34">
        <f>C31*'E Balans VL '!Y19/100/3.6*1000000</f>
        <v>37.170130474811856</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691.90964944017003</v>
      </c>
      <c r="C12" s="34"/>
      <c r="D12" s="38">
        <f>IF( ISERROR(IND_min_gas_kWh/1000),0,IND_min_gas_kWh/1000)*0.902</f>
        <v>0</v>
      </c>
      <c r="E12" s="34">
        <f>C34*'E Balans VL '!I22/100/3.6*1000000</f>
        <v>17.541140863123825</v>
      </c>
      <c r="F12" s="34">
        <f>C34*'E Balans VL '!L22/100/3.6*1000000+C34*'E Balans VL '!N22/100/3.6*1000000</f>
        <v>191.4538117136415</v>
      </c>
      <c r="G12" s="35"/>
      <c r="H12" s="34"/>
      <c r="I12" s="34"/>
      <c r="J12" s="41">
        <f>C34*'E Balans VL '!D22/100/3.6*1000000+C34*'E Balans VL '!E22/100/3.6*1000000</f>
        <v>4.5695103647889157</v>
      </c>
      <c r="K12" s="34"/>
      <c r="L12" s="34"/>
      <c r="M12" s="34"/>
      <c r="N12" s="34">
        <f>C34*'E Balans VL '!Y22/100/3.6*1000000</f>
        <v>0</v>
      </c>
      <c r="O12" s="34"/>
      <c r="P12" s="34"/>
      <c r="R12" s="33"/>
    </row>
    <row r="13" spans="1:18">
      <c r="A13" s="6" t="s">
        <v>39</v>
      </c>
      <c r="B13" s="38">
        <f t="shared" si="0"/>
        <v>79.561999999999998</v>
      </c>
      <c r="C13" s="34"/>
      <c r="D13" s="38">
        <f>IF( ISERROR(IND_papier_gas_kWh/1000),0,IND_papier_gas_kWh/1000)*0.902</f>
        <v>179.72300824129533</v>
      </c>
      <c r="E13" s="34">
        <f>C35*'E Balans VL '!I23/100/3.6*1000000</f>
        <v>2.7099970774418529</v>
      </c>
      <c r="F13" s="34">
        <f>C35*'E Balans VL '!L23/100/3.6*1000000+C35*'E Balans VL '!N23/100/3.6*1000000</f>
        <v>13.141775120054264</v>
      </c>
      <c r="G13" s="35"/>
      <c r="H13" s="34"/>
      <c r="I13" s="34"/>
      <c r="J13" s="41">
        <f>C35*'E Balans VL '!D23/100/3.6*1000000+C35*'E Balans VL '!E23/100/3.6*1000000</f>
        <v>0</v>
      </c>
      <c r="K13" s="34"/>
      <c r="L13" s="34"/>
      <c r="M13" s="34"/>
      <c r="N13" s="34">
        <f>C35*'E Balans VL '!Y23/100/3.6*1000000</f>
        <v>29.276682312563558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230.58696337876501</v>
      </c>
      <c r="C15" s="34"/>
      <c r="D15" s="38">
        <f>IF( ISERROR(IND_rest_gas_kWh/1000),0,IND_rest_gas_kWh/1000)*0.902</f>
        <v>795.06382585383699</v>
      </c>
      <c r="E15" s="34">
        <f>C37*'E Balans VL '!I15/100/3.6*1000000</f>
        <v>2.0719831890430997</v>
      </c>
      <c r="F15" s="34">
        <f>C37*'E Balans VL '!L15/100/3.6*1000000+C37*'E Balans VL '!N15/100/3.6*1000000</f>
        <v>45.407293306001733</v>
      </c>
      <c r="G15" s="35"/>
      <c r="H15" s="34"/>
      <c r="I15" s="34"/>
      <c r="J15" s="41">
        <f>C37*'E Balans VL '!D15/100/3.6*1000000+C37*'E Balans VL '!E15/100/3.6*1000000</f>
        <v>1.1595688967813591</v>
      </c>
      <c r="K15" s="34"/>
      <c r="L15" s="34"/>
      <c r="M15" s="34"/>
      <c r="N15" s="34">
        <f>C37*'E Balans VL '!Y15/100/3.6*1000000</f>
        <v>7.0784123031931196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1551.130243720422</v>
      </c>
      <c r="C18" s="22">
        <f>C5+C16</f>
        <v>0</v>
      </c>
      <c r="D18" s="22">
        <f>MAX((D5+D16),0)</f>
        <v>1326.3804526378374</v>
      </c>
      <c r="E18" s="22">
        <f>MAX((E5+E16),0)</f>
        <v>25.691363759234175</v>
      </c>
      <c r="F18" s="22">
        <f>MAX((F5+F16),0)</f>
        <v>648.00861431375722</v>
      </c>
      <c r="G18" s="22"/>
      <c r="H18" s="22"/>
      <c r="I18" s="22"/>
      <c r="J18" s="22">
        <f>MAX((J5+J16),0)</f>
        <v>6.7343869117435986</v>
      </c>
      <c r="K18" s="22"/>
      <c r="L18" s="22">
        <f>MAX((L5+L16),0)</f>
        <v>0</v>
      </c>
      <c r="M18" s="22"/>
      <c r="N18" s="22">
        <f>MAX((N5+N16),0)</f>
        <v>73.726179922318209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0.21427127570611695</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332.36265610831492</v>
      </c>
      <c r="C22" s="24">
        <f ca="1">C18*C20</f>
        <v>0</v>
      </c>
      <c r="D22" s="24">
        <f>D18*D20</f>
        <v>267.92885143284315</v>
      </c>
      <c r="E22" s="24">
        <f>E18*E20</f>
        <v>5.8319395733461583</v>
      </c>
      <c r="F22" s="24">
        <f>F18*F20</f>
        <v>173.0183000217732</v>
      </c>
      <c r="G22" s="24"/>
      <c r="H22" s="24"/>
      <c r="I22" s="24"/>
      <c r="J22" s="24">
        <f>J18*J20</f>
        <v>2.3839729667572338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58.474850399884005</v>
      </c>
      <c r="C30" s="40">
        <f>IF(ISERROR(B30*3.6/1000000/'E Balans VL '!Z18*100),0,B30*3.6/1000000/'E Balans VL '!Z18*100)</f>
        <v>3.2537344067837533E-3</v>
      </c>
      <c r="D30" s="240" t="s">
        <v>707</v>
      </c>
    </row>
    <row r="31" spans="1:18">
      <c r="A31" s="6" t="s">
        <v>33</v>
      </c>
      <c r="B31" s="38">
        <f>IF( ISERROR(IND_ander_ele_kWh/1000),0,IND_ander_ele_kWh/1000)</f>
        <v>490.59678050160295</v>
      </c>
      <c r="C31" s="40">
        <f>IF(ISERROR(B31*3.6/1000000/'E Balans VL '!Z19*100),0,B31*3.6/1000000/'E Balans VL '!Z19*100)</f>
        <v>2.2806555869862251E-2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691.90964944017003</v>
      </c>
      <c r="C34" s="40">
        <f>IF(ISERROR(B34*3.6/1000000/'E Balans VL '!Z22*100),0,B34*3.6/1000000/'E Balans VL '!Z22*100)</f>
        <v>0.13905432834452808</v>
      </c>
      <c r="D34" s="240" t="s">
        <v>707</v>
      </c>
    </row>
    <row r="35" spans="1:5">
      <c r="A35" s="174" t="s">
        <v>39</v>
      </c>
      <c r="B35" s="38">
        <f>IF( ISERROR(IND_papier_ele_kWh/1000),0,IND_papier_ele_kWh/1000)</f>
        <v>79.561999999999998</v>
      </c>
      <c r="C35" s="40">
        <f>IF(ISERROR(B35*3.6/1000000/'E Balans VL '!Z22*100),0,B35*3.6/1000000/'E Balans VL '!Z22*100)</f>
        <v>1.5989718427397083E-2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230.58696337876501</v>
      </c>
      <c r="C37" s="40">
        <f>IF(ISERROR(B37*3.6/1000000/'E Balans VL '!Z15*100),0,B37*3.6/1000000/'E Balans VL '!Z15*100)</f>
        <v>1.7412722019627068E-3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131.7311925741449</v>
      </c>
      <c r="C5" s="18">
        <f>'Eigen informatie GS &amp; warmtenet'!B60</f>
        <v>0</v>
      </c>
      <c r="D5" s="31">
        <f>IF(ISERROR(SUM(LB_lb_gas_kWh,LB_rest_gas_kWh,onbekend_gas_kWh)/1000),0,SUM(LB_lb_gas_kWh,LB_rest_gas_kWh,onbekend_gas_kWh)/1000)*0.902</f>
        <v>1698.5868227769836</v>
      </c>
      <c r="E5" s="18">
        <f>B17*'E Balans VL '!I25/3.6*1000000/100</f>
        <v>1.2409960968427627</v>
      </c>
      <c r="F5" s="18">
        <f>B17*('E Balans VL '!L25/3.6*1000000+'E Balans VL '!N25/3.6*1000000)/100</f>
        <v>429.88259911281529</v>
      </c>
      <c r="G5" s="19"/>
      <c r="H5" s="18"/>
      <c r="I5" s="18"/>
      <c r="J5" s="18">
        <f>('E Balans VL '!D25+'E Balans VL '!E25)/3.6*1000000*landbouw!B17/100</f>
        <v>16.295789261819326</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131.7311925741449</v>
      </c>
      <c r="C8" s="22">
        <f>C5+C6</f>
        <v>0</v>
      </c>
      <c r="D8" s="22">
        <f>MAX((D5+D6),0)</f>
        <v>1698.5868227769836</v>
      </c>
      <c r="E8" s="22">
        <f>MAX((E5+E6),0)</f>
        <v>1.2409960968427627</v>
      </c>
      <c r="F8" s="22">
        <f>MAX((F5+F6),0)</f>
        <v>429.88259911281529</v>
      </c>
      <c r="G8" s="22"/>
      <c r="H8" s="22"/>
      <c r="I8" s="22"/>
      <c r="J8" s="22">
        <f>MAX((J5+J6),0)</f>
        <v>16.295789261819326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0.21427127570611695</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28.226210683150189</v>
      </c>
      <c r="C12" s="24">
        <f ca="1">C8*C10</f>
        <v>0</v>
      </c>
      <c r="D12" s="24">
        <f>D8*D10</f>
        <v>343.11453820095073</v>
      </c>
      <c r="E12" s="24">
        <f>E8*E10</f>
        <v>0.28170611398330714</v>
      </c>
      <c r="F12" s="24">
        <f>F8*F10</f>
        <v>114.77865396312168</v>
      </c>
      <c r="G12" s="24"/>
      <c r="H12" s="24"/>
      <c r="I12" s="24"/>
      <c r="J12" s="24">
        <f>J8*J10</f>
        <v>5.7687093986840416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1.7834298477372265E-2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9.7512965322489116</v>
      </c>
      <c r="C26" s="250">
        <f>B26*'GWP N2O_CH4'!B5</f>
        <v>204.77722717722713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0.75408232548364262</v>
      </c>
      <c r="C27" s="250">
        <f>B27*'GWP N2O_CH4'!B5</f>
        <v>15.835728835156495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0.12159245847469388</v>
      </c>
      <c r="C28" s="250">
        <f>B28*'GWP N2O_CH4'!B4</f>
        <v>37.6936621271551</v>
      </c>
      <c r="D28" s="51"/>
    </row>
    <row r="29" spans="1:4">
      <c r="A29" s="42" t="s">
        <v>277</v>
      </c>
      <c r="B29" s="250">
        <f>B34*'ha_N2O bodem landbouw'!B4</f>
        <v>0.49638283687264206</v>
      </c>
      <c r="C29" s="250">
        <f>B29*'GWP N2O_CH4'!B4</f>
        <v>153.87867943051904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1.3400773969145463E-4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1.6767037279716319E-5</v>
      </c>
      <c r="C5" s="447" t="s">
        <v>211</v>
      </c>
      <c r="D5" s="432">
        <f>SUM(D6:D11)</f>
        <v>4.7424439001820328E-5</v>
      </c>
      <c r="E5" s="432">
        <f>SUM(E6:E11)</f>
        <v>3.2009465997958207E-3</v>
      </c>
      <c r="F5" s="445" t="s">
        <v>211</v>
      </c>
      <c r="G5" s="432">
        <f>SUM(G6:G11)</f>
        <v>0.55352087438068964</v>
      </c>
      <c r="H5" s="432">
        <f>SUM(H6:H11)</f>
        <v>0.10920808180458037</v>
      </c>
      <c r="I5" s="447" t="s">
        <v>211</v>
      </c>
      <c r="J5" s="447" t="s">
        <v>211</v>
      </c>
      <c r="K5" s="447" t="s">
        <v>211</v>
      </c>
      <c r="L5" s="447" t="s">
        <v>211</v>
      </c>
      <c r="M5" s="432">
        <f>SUM(M6:M11)</f>
        <v>2.9643938067955549E-2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1.9906543327611826E-6</v>
      </c>
      <c r="C6" s="433"/>
      <c r="D6" s="433">
        <f>vkm_2011_GW_PW*SUMIFS(TableVerdeelsleutelVkm[CNG],TableVerdeelsleutelVkm[Voertuigtype],"Lichte voertuigen")*SUMIFS(TableECFTransport[EnergieConsumptieFactor (PJ per km)],TableECFTransport[Index],CONCATENATE($A6,"_CNG_CNG"))</f>
        <v>4.8612112183028193E-6</v>
      </c>
      <c r="E6" s="435">
        <f>vkm_2011_GW_PW*SUMIFS(TableVerdeelsleutelVkm[LPG],TableVerdeelsleutelVkm[Voertuigtype],"Lichte voertuigen")*SUMIFS(TableECFTransport[EnergieConsumptieFactor (PJ per km)],TableECFTransport[Index],CONCATENATE($A6,"_LPG_LPG"))</f>
        <v>2.8814747895701575E-4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4.1655107699301475E-2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1.0916606998910873E-2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2.3542582009367266E-3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1.0031458245828935E-2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4.0473023085080153E-6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4.4689836114022996E-4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2.8146402709438262E-6</v>
      </c>
      <c r="C8" s="433"/>
      <c r="D8" s="435">
        <f>vkm_2011_NGW_PW*SUMIFS(TableVerdeelsleutelVkm[CNG],TableVerdeelsleutelVkm[Voertuigtype],"Lichte voertuigen")*SUMIFS(TableECFTransport[EnergieConsumptieFactor (PJ per km)],TableECFTransport[Index],CONCATENATE($A8,"_CNG_CNG"))</f>
        <v>1.2332045027592364E-5</v>
      </c>
      <c r="E8" s="435">
        <f>vkm_2011_NGW_PW*SUMIFS(TableVerdeelsleutelVkm[LPG],TableVerdeelsleutelVkm[Voertuigtype],"Lichte voertuigen")*SUMIFS(TableECFTransport[EnergieConsumptieFactor (PJ per km)],TableECFTransport[Index],CONCATENATE($A8,"_LPG_LPG"))</f>
        <v>6.7060075434069943E-4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9.1580808937608574E-2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2.651924379649424E-2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5.2911462038907134E-3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1.3674799495001127E-2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4.8038439451540331E-6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6.0917545679088864E-4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1.1961742676011311E-5</v>
      </c>
      <c r="C10" s="433"/>
      <c r="D10" s="435">
        <f>vkm_2011_SW_PW*SUMIFS(TableVerdeelsleutelVkm[CNG],TableVerdeelsleutelVkm[Voertuigtype],"Lichte voertuigen")*SUMIFS(TableECFTransport[EnergieConsumptieFactor (PJ per km)],TableECFTransport[Index],CONCATENATE($A10,"_CNG_CNG"))</f>
        <v>3.0231182755925145E-5</v>
      </c>
      <c r="E10" s="435">
        <f>vkm_2011_SW_PW*SUMIFS(TableVerdeelsleutelVkm[LPG],TableVerdeelsleutelVkm[Voertuigtype],"Lichte voertuigen")*SUMIFS(TableECFTransport[EnergieConsumptieFactor (PJ per km)],TableECFTransport[Index],CONCATENATE($A10,"_LPG_LPG"))</f>
        <v>2.2421983664981057E-3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0.29539709409577924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7.1720068935400019E-2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1.6434736806728731E-2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0.10118160590717028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4.3310927521572964E-5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4.5077230384682572E-3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4.657510355476755</v>
      </c>
      <c r="C14" s="22"/>
      <c r="D14" s="22">
        <f t="shared" ref="D14:M14" si="0">((D5)*10^9/3600)+D12</f>
        <v>13.173455278283424</v>
      </c>
      <c r="E14" s="22">
        <f t="shared" si="0"/>
        <v>889.1518332766168</v>
      </c>
      <c r="F14" s="22"/>
      <c r="G14" s="22">
        <f t="shared" si="0"/>
        <v>153755.79843908045</v>
      </c>
      <c r="H14" s="22">
        <f t="shared" si="0"/>
        <v>30335.578279050103</v>
      </c>
      <c r="I14" s="22"/>
      <c r="J14" s="22"/>
      <c r="K14" s="22"/>
      <c r="L14" s="22"/>
      <c r="M14" s="22">
        <f t="shared" si="0"/>
        <v>8234.4272410987633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0.21427127570611695</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0.99797068548245449</v>
      </c>
      <c r="C18" s="24"/>
      <c r="D18" s="24">
        <f t="shared" ref="D18:M18" si="1">D14*D16</f>
        <v>2.6610379662132519</v>
      </c>
      <c r="E18" s="24">
        <f t="shared" si="1"/>
        <v>201.83746615379201</v>
      </c>
      <c r="F18" s="24"/>
      <c r="G18" s="24">
        <f t="shared" si="1"/>
        <v>41052.798183234481</v>
      </c>
      <c r="H18" s="24">
        <f t="shared" si="1"/>
        <v>7553.5589914834754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4.3281047545564817E-3</v>
      </c>
      <c r="H50" s="323">
        <f t="shared" si="2"/>
        <v>0</v>
      </c>
      <c r="I50" s="323">
        <f t="shared" si="2"/>
        <v>0</v>
      </c>
      <c r="J50" s="323">
        <f t="shared" si="2"/>
        <v>0</v>
      </c>
      <c r="K50" s="323">
        <f t="shared" si="2"/>
        <v>0</v>
      </c>
      <c r="L50" s="323">
        <f t="shared" si="2"/>
        <v>0</v>
      </c>
      <c r="M50" s="323">
        <f t="shared" si="2"/>
        <v>1.9005421942796101E-4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4.3281047545564817E-3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1.9005421942796101E-4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1202.2513207101338</v>
      </c>
      <c r="H54" s="22">
        <f t="shared" si="3"/>
        <v>0</v>
      </c>
      <c r="I54" s="22">
        <f t="shared" si="3"/>
        <v>0</v>
      </c>
      <c r="J54" s="22">
        <f t="shared" si="3"/>
        <v>0</v>
      </c>
      <c r="K54" s="22">
        <f t="shared" si="3"/>
        <v>0</v>
      </c>
      <c r="L54" s="22">
        <f t="shared" si="3"/>
        <v>0</v>
      </c>
      <c r="M54" s="22">
        <f t="shared" si="3"/>
        <v>52.792838729989171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0.21427127570611695</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321.00110262960573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952.70773731014208</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952.70773731014208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10545.272035167847</v>
      </c>
      <c r="D10" s="703">
        <f ca="1">tertiair!C16</f>
        <v>0</v>
      </c>
      <c r="E10" s="703">
        <f ca="1">tertiair!D16</f>
        <v>16512.769428795436</v>
      </c>
      <c r="F10" s="703">
        <f>tertiair!E16</f>
        <v>61.469338161168125</v>
      </c>
      <c r="G10" s="703">
        <f ca="1">tertiair!F16</f>
        <v>1758.0302312927031</v>
      </c>
      <c r="H10" s="703">
        <f>tertiair!G16</f>
        <v>0</v>
      </c>
      <c r="I10" s="703">
        <f>tertiair!H16</f>
        <v>0</v>
      </c>
      <c r="J10" s="703">
        <f>tertiair!I16</f>
        <v>0</v>
      </c>
      <c r="K10" s="703">
        <f>tertiair!J16</f>
        <v>0</v>
      </c>
      <c r="L10" s="703">
        <f>tertiair!K16</f>
        <v>0</v>
      </c>
      <c r="M10" s="703">
        <f ca="1">tertiair!L16</f>
        <v>0</v>
      </c>
      <c r="N10" s="703">
        <f>tertiair!M16</f>
        <v>0</v>
      </c>
      <c r="O10" s="703">
        <f ca="1">tertiair!N16</f>
        <v>843.6310734323838</v>
      </c>
      <c r="P10" s="703">
        <f>tertiair!O16</f>
        <v>0</v>
      </c>
      <c r="Q10" s="704">
        <f>tertiair!P16</f>
        <v>0</v>
      </c>
      <c r="R10" s="706">
        <f ca="1">SUM(C10:Q10)</f>
        <v>29721.172106849539</v>
      </c>
      <c r="S10" s="68"/>
    </row>
    <row r="11" spans="1:19" s="458" customFormat="1">
      <c r="A11" s="859" t="s">
        <v>225</v>
      </c>
      <c r="B11" s="864"/>
      <c r="C11" s="703">
        <f>huishoudens!B8</f>
        <v>19058.193869046998</v>
      </c>
      <c r="D11" s="703">
        <f>huishoudens!C8</f>
        <v>0</v>
      </c>
      <c r="E11" s="703">
        <f>huishoudens!D8</f>
        <v>60764.996707694772</v>
      </c>
      <c r="F11" s="703">
        <f>huishoudens!E8</f>
        <v>1616.4445233786919</v>
      </c>
      <c r="G11" s="703">
        <f>huishoudens!F8</f>
        <v>13731.063511871555</v>
      </c>
      <c r="H11" s="703">
        <f>huishoudens!G8</f>
        <v>0</v>
      </c>
      <c r="I11" s="703">
        <f>huishoudens!H8</f>
        <v>0</v>
      </c>
      <c r="J11" s="703">
        <f>huishoudens!I8</f>
        <v>0</v>
      </c>
      <c r="K11" s="703">
        <f>huishoudens!J8</f>
        <v>0</v>
      </c>
      <c r="L11" s="703">
        <f>huishoudens!K8</f>
        <v>0</v>
      </c>
      <c r="M11" s="703">
        <f>huishoudens!L8</f>
        <v>0</v>
      </c>
      <c r="N11" s="703">
        <f>huishoudens!M8</f>
        <v>0</v>
      </c>
      <c r="O11" s="703">
        <f>huishoudens!N8</f>
        <v>6221.5966602018079</v>
      </c>
      <c r="P11" s="703">
        <f>huishoudens!O8</f>
        <v>93.8</v>
      </c>
      <c r="Q11" s="704">
        <f>huishoudens!P8</f>
        <v>152.53333333333333</v>
      </c>
      <c r="R11" s="706">
        <f>SUM(C11:Q11)</f>
        <v>101638.62860552716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1551.130243720422</v>
      </c>
      <c r="D13" s="703">
        <f>industrie!C18</f>
        <v>0</v>
      </c>
      <c r="E13" s="703">
        <f>industrie!D18</f>
        <v>1326.3804526378374</v>
      </c>
      <c r="F13" s="703">
        <f>industrie!E18</f>
        <v>25.691363759234175</v>
      </c>
      <c r="G13" s="703">
        <f>industrie!F18</f>
        <v>648.00861431375722</v>
      </c>
      <c r="H13" s="703">
        <f>industrie!G18</f>
        <v>0</v>
      </c>
      <c r="I13" s="703">
        <f>industrie!H18</f>
        <v>0</v>
      </c>
      <c r="J13" s="703">
        <f>industrie!I18</f>
        <v>0</v>
      </c>
      <c r="K13" s="703">
        <f>industrie!J18</f>
        <v>6.7343869117435986</v>
      </c>
      <c r="L13" s="703">
        <f>industrie!K18</f>
        <v>0</v>
      </c>
      <c r="M13" s="703">
        <f>industrie!L18</f>
        <v>0</v>
      </c>
      <c r="N13" s="703">
        <f>industrie!M18</f>
        <v>0</v>
      </c>
      <c r="O13" s="703">
        <f>industrie!N18</f>
        <v>73.726179922318209</v>
      </c>
      <c r="P13" s="703">
        <f>industrie!O18</f>
        <v>0</v>
      </c>
      <c r="Q13" s="704">
        <f>industrie!P18</f>
        <v>0</v>
      </c>
      <c r="R13" s="706">
        <f>SUM(C13:Q13)</f>
        <v>3631.6712412653128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31154.596147935266</v>
      </c>
      <c r="D15" s="708">
        <f t="shared" ref="D15:Q15" ca="1" si="0">SUM(D9:D14)</f>
        <v>0</v>
      </c>
      <c r="E15" s="708">
        <f t="shared" ca="1" si="0"/>
        <v>78604.146589128053</v>
      </c>
      <c r="F15" s="708">
        <f t="shared" si="0"/>
        <v>1703.6052252990942</v>
      </c>
      <c r="G15" s="708">
        <f t="shared" ca="1" si="0"/>
        <v>16137.102357478016</v>
      </c>
      <c r="H15" s="708">
        <f t="shared" si="0"/>
        <v>0</v>
      </c>
      <c r="I15" s="708">
        <f t="shared" si="0"/>
        <v>0</v>
      </c>
      <c r="J15" s="708">
        <f t="shared" si="0"/>
        <v>0</v>
      </c>
      <c r="K15" s="708">
        <f t="shared" si="0"/>
        <v>6.7343869117435986</v>
      </c>
      <c r="L15" s="708">
        <f t="shared" si="0"/>
        <v>0</v>
      </c>
      <c r="M15" s="708">
        <f t="shared" ca="1" si="0"/>
        <v>0</v>
      </c>
      <c r="N15" s="708">
        <f t="shared" si="0"/>
        <v>0</v>
      </c>
      <c r="O15" s="708">
        <f t="shared" ca="1" si="0"/>
        <v>7138.9539135565101</v>
      </c>
      <c r="P15" s="708">
        <f t="shared" si="0"/>
        <v>93.8</v>
      </c>
      <c r="Q15" s="709">
        <f t="shared" si="0"/>
        <v>152.53333333333333</v>
      </c>
      <c r="R15" s="710">
        <f ca="1">SUM(R9:R14)</f>
        <v>134991.47195364203</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1202.2513207101338</v>
      </c>
      <c r="I18" s="703">
        <f>transport!H54</f>
        <v>0</v>
      </c>
      <c r="J18" s="703">
        <f>transport!I54</f>
        <v>0</v>
      </c>
      <c r="K18" s="703">
        <f>transport!J54</f>
        <v>0</v>
      </c>
      <c r="L18" s="703">
        <f>transport!K54</f>
        <v>0</v>
      </c>
      <c r="M18" s="703">
        <f>transport!L54</f>
        <v>0</v>
      </c>
      <c r="N18" s="703">
        <f>transport!M54</f>
        <v>52.792838729989171</v>
      </c>
      <c r="O18" s="703">
        <f>transport!N54</f>
        <v>0</v>
      </c>
      <c r="P18" s="703">
        <f>transport!O54</f>
        <v>0</v>
      </c>
      <c r="Q18" s="704">
        <f>transport!P54</f>
        <v>0</v>
      </c>
      <c r="R18" s="706">
        <f>SUM(C18:Q18)</f>
        <v>1255.0441594401229</v>
      </c>
      <c r="S18" s="68"/>
    </row>
    <row r="19" spans="1:19" s="458" customFormat="1" ht="15" thickBot="1">
      <c r="A19" s="859" t="s">
        <v>307</v>
      </c>
      <c r="B19" s="864"/>
      <c r="C19" s="712">
        <f>transport!B14</f>
        <v>4.657510355476755</v>
      </c>
      <c r="D19" s="712">
        <f>transport!C14</f>
        <v>0</v>
      </c>
      <c r="E19" s="712">
        <f>transport!D14</f>
        <v>13.173455278283424</v>
      </c>
      <c r="F19" s="712">
        <f>transport!E14</f>
        <v>889.1518332766168</v>
      </c>
      <c r="G19" s="712">
        <f>transport!F14</f>
        <v>0</v>
      </c>
      <c r="H19" s="712">
        <f>transport!G14</f>
        <v>153755.79843908045</v>
      </c>
      <c r="I19" s="712">
        <f>transport!H14</f>
        <v>30335.578279050103</v>
      </c>
      <c r="J19" s="712">
        <f>transport!I14</f>
        <v>0</v>
      </c>
      <c r="K19" s="712">
        <f>transport!J14</f>
        <v>0</v>
      </c>
      <c r="L19" s="712">
        <f>transport!K14</f>
        <v>0</v>
      </c>
      <c r="M19" s="712">
        <f>transport!L14</f>
        <v>0</v>
      </c>
      <c r="N19" s="712">
        <f>transport!M14</f>
        <v>8234.4272410987633</v>
      </c>
      <c r="O19" s="712">
        <f>transport!N14</f>
        <v>0</v>
      </c>
      <c r="P19" s="712">
        <f>transport!O14</f>
        <v>0</v>
      </c>
      <c r="Q19" s="713">
        <f>transport!P14</f>
        <v>0</v>
      </c>
      <c r="R19" s="714">
        <f>SUM(C19:Q19)</f>
        <v>193232.7867581397</v>
      </c>
      <c r="S19" s="68"/>
    </row>
    <row r="20" spans="1:19" s="458" customFormat="1" ht="15.75" thickBot="1">
      <c r="A20" s="715" t="s">
        <v>230</v>
      </c>
      <c r="B20" s="867"/>
      <c r="C20" s="862">
        <f>SUM(C17:C19)</f>
        <v>4.657510355476755</v>
      </c>
      <c r="D20" s="716">
        <f t="shared" ref="D20:R20" si="1">SUM(D17:D19)</f>
        <v>0</v>
      </c>
      <c r="E20" s="716">
        <f t="shared" si="1"/>
        <v>13.173455278283424</v>
      </c>
      <c r="F20" s="716">
        <f t="shared" si="1"/>
        <v>889.1518332766168</v>
      </c>
      <c r="G20" s="716">
        <f t="shared" si="1"/>
        <v>0</v>
      </c>
      <c r="H20" s="716">
        <f t="shared" si="1"/>
        <v>154958.04975979059</v>
      </c>
      <c r="I20" s="716">
        <f t="shared" si="1"/>
        <v>30335.578279050103</v>
      </c>
      <c r="J20" s="716">
        <f t="shared" si="1"/>
        <v>0</v>
      </c>
      <c r="K20" s="716">
        <f t="shared" si="1"/>
        <v>0</v>
      </c>
      <c r="L20" s="716">
        <f t="shared" si="1"/>
        <v>0</v>
      </c>
      <c r="M20" s="716">
        <f t="shared" si="1"/>
        <v>0</v>
      </c>
      <c r="N20" s="716">
        <f t="shared" si="1"/>
        <v>8287.2200798287522</v>
      </c>
      <c r="O20" s="716">
        <f t="shared" si="1"/>
        <v>0</v>
      </c>
      <c r="P20" s="716">
        <f t="shared" si="1"/>
        <v>0</v>
      </c>
      <c r="Q20" s="717">
        <f t="shared" si="1"/>
        <v>0</v>
      </c>
      <c r="R20" s="718">
        <f t="shared" si="1"/>
        <v>194487.83091757982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131.7311925741449</v>
      </c>
      <c r="D22" s="712">
        <f>+landbouw!C8</f>
        <v>0</v>
      </c>
      <c r="E22" s="712">
        <f>+landbouw!D8</f>
        <v>1698.5868227769836</v>
      </c>
      <c r="F22" s="712">
        <f>+landbouw!E8</f>
        <v>1.2409960968427627</v>
      </c>
      <c r="G22" s="712">
        <f>+landbouw!F8</f>
        <v>429.88259911281529</v>
      </c>
      <c r="H22" s="712">
        <f>+landbouw!G8</f>
        <v>0</v>
      </c>
      <c r="I22" s="712">
        <f>+landbouw!H8</f>
        <v>0</v>
      </c>
      <c r="J22" s="712">
        <f>+landbouw!I8</f>
        <v>0</v>
      </c>
      <c r="K22" s="712">
        <f>+landbouw!J8</f>
        <v>16.295789261819326</v>
      </c>
      <c r="L22" s="712">
        <f>+landbouw!K8</f>
        <v>0</v>
      </c>
      <c r="M22" s="712">
        <f>+landbouw!L8</f>
        <v>0</v>
      </c>
      <c r="N22" s="712">
        <f>+landbouw!M8</f>
        <v>0</v>
      </c>
      <c r="O22" s="712">
        <f>+landbouw!N8</f>
        <v>0</v>
      </c>
      <c r="P22" s="712">
        <f>+landbouw!O8</f>
        <v>0</v>
      </c>
      <c r="Q22" s="713">
        <f>+landbouw!P8</f>
        <v>0</v>
      </c>
      <c r="R22" s="714">
        <f>SUM(C22:Q22)</f>
        <v>2277.7373998226058</v>
      </c>
      <c r="S22" s="68"/>
    </row>
    <row r="23" spans="1:19" s="458" customFormat="1" ht="17.25" thickTop="1" thickBot="1">
      <c r="A23" s="719" t="s">
        <v>116</v>
      </c>
      <c r="B23" s="853"/>
      <c r="C23" s="720">
        <f ca="1">C20+C15+C22</f>
        <v>31290.984850864887</v>
      </c>
      <c r="D23" s="720">
        <f t="shared" ref="D23:Q23" ca="1" si="2">D20+D15+D22</f>
        <v>0</v>
      </c>
      <c r="E23" s="720">
        <f t="shared" ca="1" si="2"/>
        <v>80315.906867183323</v>
      </c>
      <c r="F23" s="720">
        <f t="shared" si="2"/>
        <v>2593.9980546725537</v>
      </c>
      <c r="G23" s="720">
        <f t="shared" ca="1" si="2"/>
        <v>16566.98495659083</v>
      </c>
      <c r="H23" s="720">
        <f t="shared" si="2"/>
        <v>154958.04975979059</v>
      </c>
      <c r="I23" s="720">
        <f t="shared" si="2"/>
        <v>30335.578279050103</v>
      </c>
      <c r="J23" s="720">
        <f t="shared" si="2"/>
        <v>0</v>
      </c>
      <c r="K23" s="720">
        <f t="shared" si="2"/>
        <v>23.030176173562925</v>
      </c>
      <c r="L23" s="720">
        <f t="shared" si="2"/>
        <v>0</v>
      </c>
      <c r="M23" s="720">
        <f t="shared" ca="1" si="2"/>
        <v>0</v>
      </c>
      <c r="N23" s="720">
        <f t="shared" si="2"/>
        <v>8287.2200798287522</v>
      </c>
      <c r="O23" s="720">
        <f t="shared" ca="1" si="2"/>
        <v>7138.9539135565101</v>
      </c>
      <c r="P23" s="720">
        <f t="shared" si="2"/>
        <v>93.8</v>
      </c>
      <c r="Q23" s="721">
        <f t="shared" si="2"/>
        <v>152.53333333333333</v>
      </c>
      <c r="R23" s="722">
        <f ca="1">R20+R15+R22</f>
        <v>331757.04027104448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2259.5488916434547</v>
      </c>
      <c r="D36" s="703">
        <f ca="1">tertiair!C20</f>
        <v>0</v>
      </c>
      <c r="E36" s="703">
        <f ca="1">tertiair!D20</f>
        <v>3335.5794246166784</v>
      </c>
      <c r="F36" s="703">
        <f>tertiair!E20</f>
        <v>13.953539762585164</v>
      </c>
      <c r="G36" s="703">
        <f ca="1">tertiair!F20</f>
        <v>469.39407175515174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6078.4759277778694</v>
      </c>
    </row>
    <row r="37" spans="1:18">
      <c r="A37" s="874" t="s">
        <v>225</v>
      </c>
      <c r="B37" s="881"/>
      <c r="C37" s="703">
        <f ca="1">huishoudens!B12</f>
        <v>4083.6235129751972</v>
      </c>
      <c r="D37" s="703">
        <f ca="1">huishoudens!C12</f>
        <v>0</v>
      </c>
      <c r="E37" s="703">
        <f>huishoudens!D12</f>
        <v>12274.529334954344</v>
      </c>
      <c r="F37" s="703">
        <f>huishoudens!E12</f>
        <v>366.93290680696305</v>
      </c>
      <c r="G37" s="703">
        <f>huishoudens!F12</f>
        <v>3666.1939576697055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20391.279712406209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332.36265610831492</v>
      </c>
      <c r="D39" s="703">
        <f ca="1">industrie!C22</f>
        <v>0</v>
      </c>
      <c r="E39" s="703">
        <f>industrie!D22</f>
        <v>267.92885143284315</v>
      </c>
      <c r="F39" s="703">
        <f>industrie!E22</f>
        <v>5.8319395733461583</v>
      </c>
      <c r="G39" s="703">
        <f>industrie!F22</f>
        <v>173.0183000217732</v>
      </c>
      <c r="H39" s="703">
        <f>industrie!G22</f>
        <v>0</v>
      </c>
      <c r="I39" s="703">
        <f>industrie!H22</f>
        <v>0</v>
      </c>
      <c r="J39" s="703">
        <f>industrie!I22</f>
        <v>0</v>
      </c>
      <c r="K39" s="703">
        <f>industrie!J22</f>
        <v>2.3839729667572338</v>
      </c>
      <c r="L39" s="703">
        <f>industrie!K22</f>
        <v>0</v>
      </c>
      <c r="M39" s="703">
        <f>industrie!L22</f>
        <v>0</v>
      </c>
      <c r="N39" s="703">
        <f>industrie!M22</f>
        <v>0</v>
      </c>
      <c r="O39" s="703">
        <f>industrie!N22</f>
        <v>0</v>
      </c>
      <c r="P39" s="703">
        <f>industrie!O22</f>
        <v>0</v>
      </c>
      <c r="Q39" s="813">
        <f>industrie!P22</f>
        <v>0</v>
      </c>
      <c r="R39" s="907">
        <f ca="1">SUM(C39:Q39)</f>
        <v>781.5257201030347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6675.5350607269665</v>
      </c>
      <c r="D41" s="748">
        <f t="shared" ref="D41:R41" ca="1" si="4">SUM(D35:D40)</f>
        <v>0</v>
      </c>
      <c r="E41" s="748">
        <f t="shared" ca="1" si="4"/>
        <v>15878.037611003867</v>
      </c>
      <c r="F41" s="748">
        <f t="shared" si="4"/>
        <v>386.71838614289436</v>
      </c>
      <c r="G41" s="748">
        <f t="shared" ca="1" si="4"/>
        <v>4308.6063294466303</v>
      </c>
      <c r="H41" s="748">
        <f t="shared" si="4"/>
        <v>0</v>
      </c>
      <c r="I41" s="748">
        <f t="shared" si="4"/>
        <v>0</v>
      </c>
      <c r="J41" s="748">
        <f t="shared" si="4"/>
        <v>0</v>
      </c>
      <c r="K41" s="748">
        <f t="shared" si="4"/>
        <v>2.3839729667572338</v>
      </c>
      <c r="L41" s="748">
        <f t="shared" si="4"/>
        <v>0</v>
      </c>
      <c r="M41" s="748">
        <f t="shared" ca="1" si="4"/>
        <v>0</v>
      </c>
      <c r="N41" s="748">
        <f t="shared" si="4"/>
        <v>0</v>
      </c>
      <c r="O41" s="748">
        <f t="shared" ca="1" si="4"/>
        <v>0</v>
      </c>
      <c r="P41" s="748">
        <f t="shared" si="4"/>
        <v>0</v>
      </c>
      <c r="Q41" s="749">
        <f t="shared" si="4"/>
        <v>0</v>
      </c>
      <c r="R41" s="750">
        <f t="shared" ca="1" si="4"/>
        <v>27251.281360287114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321.00110262960573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321.00110262960573</v>
      </c>
    </row>
    <row r="45" spans="1:18" ht="15" thickBot="1">
      <c r="A45" s="877" t="s">
        <v>307</v>
      </c>
      <c r="B45" s="887"/>
      <c r="C45" s="712">
        <f ca="1">transport!B18</f>
        <v>0.99797068548245449</v>
      </c>
      <c r="D45" s="712">
        <f>transport!C18</f>
        <v>0</v>
      </c>
      <c r="E45" s="712">
        <f>transport!D18</f>
        <v>2.6610379662132519</v>
      </c>
      <c r="F45" s="712">
        <f>transport!E18</f>
        <v>201.83746615379201</v>
      </c>
      <c r="G45" s="712">
        <f>transport!F18</f>
        <v>0</v>
      </c>
      <c r="H45" s="712">
        <f>transport!G18</f>
        <v>41052.798183234481</v>
      </c>
      <c r="I45" s="712">
        <f>transport!H18</f>
        <v>7553.5589914834754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48811.853649523444</v>
      </c>
    </row>
    <row r="46" spans="1:18" ht="15.75" thickBot="1">
      <c r="A46" s="875" t="s">
        <v>230</v>
      </c>
      <c r="B46" s="888"/>
      <c r="C46" s="748">
        <f t="shared" ref="C46:R46" ca="1" si="5">SUM(C43:C45)</f>
        <v>0.99797068548245449</v>
      </c>
      <c r="D46" s="748">
        <f t="shared" ca="1" si="5"/>
        <v>0</v>
      </c>
      <c r="E46" s="748">
        <f t="shared" si="5"/>
        <v>2.6610379662132519</v>
      </c>
      <c r="F46" s="748">
        <f t="shared" si="5"/>
        <v>201.83746615379201</v>
      </c>
      <c r="G46" s="748">
        <f t="shared" si="5"/>
        <v>0</v>
      </c>
      <c r="H46" s="748">
        <f t="shared" si="5"/>
        <v>41373.799285864086</v>
      </c>
      <c r="I46" s="748">
        <f t="shared" si="5"/>
        <v>7553.5589914834754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49132.854752153049</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28.226210683150189</v>
      </c>
      <c r="D48" s="703">
        <f ca="1">+landbouw!C12</f>
        <v>0</v>
      </c>
      <c r="E48" s="703">
        <f>+landbouw!D12</f>
        <v>343.11453820095073</v>
      </c>
      <c r="F48" s="703">
        <f>+landbouw!E12</f>
        <v>0.28170611398330714</v>
      </c>
      <c r="G48" s="703">
        <f>+landbouw!F12</f>
        <v>114.77865396312168</v>
      </c>
      <c r="H48" s="703">
        <f>+landbouw!G12</f>
        <v>0</v>
      </c>
      <c r="I48" s="703">
        <f>+landbouw!H12</f>
        <v>0</v>
      </c>
      <c r="J48" s="703">
        <f>+landbouw!I12</f>
        <v>0</v>
      </c>
      <c r="K48" s="703">
        <f>+landbouw!J12</f>
        <v>5.7687093986840416</v>
      </c>
      <c r="L48" s="703">
        <f>+landbouw!K12</f>
        <v>0</v>
      </c>
      <c r="M48" s="703">
        <f>+landbouw!L12</f>
        <v>0</v>
      </c>
      <c r="N48" s="703">
        <f>+landbouw!M12</f>
        <v>0</v>
      </c>
      <c r="O48" s="703">
        <f>+landbouw!N12</f>
        <v>0</v>
      </c>
      <c r="P48" s="703">
        <f>+landbouw!O12</f>
        <v>0</v>
      </c>
      <c r="Q48" s="704">
        <f>+landbouw!P12</f>
        <v>0</v>
      </c>
      <c r="R48" s="746">
        <f ca="1">SUM(C48:Q48)</f>
        <v>492.16981835989003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6704.7592420955998</v>
      </c>
      <c r="D53" s="758">
        <f t="shared" ref="D53:Q53" ca="1" si="6">D41+D46+D48</f>
        <v>0</v>
      </c>
      <c r="E53" s="758">
        <f t="shared" ca="1" si="6"/>
        <v>16223.81318717103</v>
      </c>
      <c r="F53" s="758">
        <f t="shared" si="6"/>
        <v>588.83755841066966</v>
      </c>
      <c r="G53" s="758">
        <f t="shared" ca="1" si="6"/>
        <v>4423.3849834097518</v>
      </c>
      <c r="H53" s="758">
        <f t="shared" si="6"/>
        <v>41373.799285864086</v>
      </c>
      <c r="I53" s="758">
        <f t="shared" si="6"/>
        <v>7553.5589914834754</v>
      </c>
      <c r="J53" s="758">
        <f t="shared" si="6"/>
        <v>0</v>
      </c>
      <c r="K53" s="758">
        <f t="shared" si="6"/>
        <v>8.1526823654412759</v>
      </c>
      <c r="L53" s="758">
        <f t="shared" si="6"/>
        <v>0</v>
      </c>
      <c r="M53" s="758">
        <f t="shared" ca="1" si="6"/>
        <v>0</v>
      </c>
      <c r="N53" s="758">
        <f t="shared" si="6"/>
        <v>0</v>
      </c>
      <c r="O53" s="758">
        <f t="shared" ca="1" si="6"/>
        <v>0</v>
      </c>
      <c r="P53" s="758">
        <f>P41+P46+P48</f>
        <v>0</v>
      </c>
      <c r="Q53" s="759">
        <f t="shared" si="6"/>
        <v>0</v>
      </c>
      <c r="R53" s="760">
        <f ca="1">R41+R46+R48</f>
        <v>76876.305930800052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0.21427127570611698</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952.70773731014208</v>
      </c>
      <c r="C66" s="780">
        <f>'lokale energieproductie'!B6</f>
        <v>952.70773731014208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952.70773731014208</v>
      </c>
      <c r="C69" s="788">
        <f>SUM(C64:C68)</f>
        <v>952.70773731014208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19058.193869046998</v>
      </c>
      <c r="C4" s="462">
        <f>huishoudens!C8</f>
        <v>0</v>
      </c>
      <c r="D4" s="462">
        <f>huishoudens!D8</f>
        <v>60764.996707694772</v>
      </c>
      <c r="E4" s="462">
        <f>huishoudens!E8</f>
        <v>1616.4445233786919</v>
      </c>
      <c r="F4" s="462">
        <f>huishoudens!F8</f>
        <v>13731.063511871555</v>
      </c>
      <c r="G4" s="462">
        <f>huishoudens!G8</f>
        <v>0</v>
      </c>
      <c r="H4" s="462">
        <f>huishoudens!H8</f>
        <v>0</v>
      </c>
      <c r="I4" s="462">
        <f>huishoudens!I8</f>
        <v>0</v>
      </c>
      <c r="J4" s="462">
        <f>huishoudens!J8</f>
        <v>0</v>
      </c>
      <c r="K4" s="462">
        <f>huishoudens!K8</f>
        <v>0</v>
      </c>
      <c r="L4" s="462">
        <f>huishoudens!L8</f>
        <v>0</v>
      </c>
      <c r="M4" s="462">
        <f>huishoudens!M8</f>
        <v>0</v>
      </c>
      <c r="N4" s="462">
        <f>huishoudens!N8</f>
        <v>6221.5966602018079</v>
      </c>
      <c r="O4" s="462">
        <f>huishoudens!O8</f>
        <v>93.8</v>
      </c>
      <c r="P4" s="463">
        <f>huishoudens!P8</f>
        <v>152.53333333333333</v>
      </c>
      <c r="Q4" s="464">
        <f>SUM(B4:P4)</f>
        <v>101638.62860552716</v>
      </c>
    </row>
    <row r="5" spans="1:17">
      <c r="A5" s="461" t="s">
        <v>156</v>
      </c>
      <c r="B5" s="462">
        <f ca="1">tertiair!B16</f>
        <v>9844.9300351678467</v>
      </c>
      <c r="C5" s="462">
        <f ca="1">tertiair!C16</f>
        <v>0</v>
      </c>
      <c r="D5" s="462">
        <f ca="1">tertiair!D16</f>
        <v>16512.769428795436</v>
      </c>
      <c r="E5" s="462">
        <f>tertiair!E16</f>
        <v>61.469338161168125</v>
      </c>
      <c r="F5" s="462">
        <f ca="1">tertiair!F16</f>
        <v>1758.0302312927031</v>
      </c>
      <c r="G5" s="462">
        <f>tertiair!G16</f>
        <v>0</v>
      </c>
      <c r="H5" s="462">
        <f>tertiair!H16</f>
        <v>0</v>
      </c>
      <c r="I5" s="462">
        <f>tertiair!I16</f>
        <v>0</v>
      </c>
      <c r="J5" s="462">
        <f>tertiair!J16</f>
        <v>0</v>
      </c>
      <c r="K5" s="462">
        <f>tertiair!K16</f>
        <v>0</v>
      </c>
      <c r="L5" s="462">
        <f ca="1">tertiair!L16</f>
        <v>0</v>
      </c>
      <c r="M5" s="462">
        <f>tertiair!M16</f>
        <v>0</v>
      </c>
      <c r="N5" s="462">
        <f ca="1">tertiair!N16</f>
        <v>843.6310734323838</v>
      </c>
      <c r="O5" s="462">
        <f>tertiair!O16</f>
        <v>0</v>
      </c>
      <c r="P5" s="463">
        <f>tertiair!P16</f>
        <v>0</v>
      </c>
      <c r="Q5" s="461">
        <f t="shared" ref="Q5:Q13" ca="1" si="0">SUM(B5:P5)</f>
        <v>29020.830106849538</v>
      </c>
    </row>
    <row r="6" spans="1:17">
      <c r="A6" s="461" t="s">
        <v>194</v>
      </c>
      <c r="B6" s="462">
        <f>'openbare verlichting'!B8</f>
        <v>700.34199999999998</v>
      </c>
      <c r="C6" s="462"/>
      <c r="D6" s="462"/>
      <c r="E6" s="462"/>
      <c r="F6" s="462"/>
      <c r="G6" s="462"/>
      <c r="H6" s="462"/>
      <c r="I6" s="462"/>
      <c r="J6" s="462"/>
      <c r="K6" s="462"/>
      <c r="L6" s="462"/>
      <c r="M6" s="462"/>
      <c r="N6" s="462"/>
      <c r="O6" s="462"/>
      <c r="P6" s="463"/>
      <c r="Q6" s="461">
        <f t="shared" si="0"/>
        <v>700.34199999999998</v>
      </c>
    </row>
    <row r="7" spans="1:17">
      <c r="A7" s="461" t="s">
        <v>112</v>
      </c>
      <c r="B7" s="462">
        <f>landbouw!B8</f>
        <v>131.7311925741449</v>
      </c>
      <c r="C7" s="462">
        <f>landbouw!C8</f>
        <v>0</v>
      </c>
      <c r="D7" s="462">
        <f>landbouw!D8</f>
        <v>1698.5868227769836</v>
      </c>
      <c r="E7" s="462">
        <f>landbouw!E8</f>
        <v>1.2409960968427627</v>
      </c>
      <c r="F7" s="462">
        <f>landbouw!F8</f>
        <v>429.88259911281529</v>
      </c>
      <c r="G7" s="462">
        <f>landbouw!G8</f>
        <v>0</v>
      </c>
      <c r="H7" s="462">
        <f>landbouw!H8</f>
        <v>0</v>
      </c>
      <c r="I7" s="462">
        <f>landbouw!I8</f>
        <v>0</v>
      </c>
      <c r="J7" s="462">
        <f>landbouw!J8</f>
        <v>16.295789261819326</v>
      </c>
      <c r="K7" s="462">
        <f>landbouw!K8</f>
        <v>0</v>
      </c>
      <c r="L7" s="462">
        <f>landbouw!L8</f>
        <v>0</v>
      </c>
      <c r="M7" s="462">
        <f>landbouw!M8</f>
        <v>0</v>
      </c>
      <c r="N7" s="462">
        <f>landbouw!N8</f>
        <v>0</v>
      </c>
      <c r="O7" s="462">
        <f>landbouw!O8</f>
        <v>0</v>
      </c>
      <c r="P7" s="463">
        <f>landbouw!P8</f>
        <v>0</v>
      </c>
      <c r="Q7" s="461">
        <f t="shared" si="0"/>
        <v>2277.7373998226058</v>
      </c>
    </row>
    <row r="8" spans="1:17">
      <c r="A8" s="461" t="s">
        <v>685</v>
      </c>
      <c r="B8" s="462">
        <f>industrie!B18</f>
        <v>1551.130243720422</v>
      </c>
      <c r="C8" s="462">
        <f>industrie!C18</f>
        <v>0</v>
      </c>
      <c r="D8" s="462">
        <f>industrie!D18</f>
        <v>1326.3804526378374</v>
      </c>
      <c r="E8" s="462">
        <f>industrie!E18</f>
        <v>25.691363759234175</v>
      </c>
      <c r="F8" s="462">
        <f>industrie!F18</f>
        <v>648.00861431375722</v>
      </c>
      <c r="G8" s="462">
        <f>industrie!G18</f>
        <v>0</v>
      </c>
      <c r="H8" s="462">
        <f>industrie!H18</f>
        <v>0</v>
      </c>
      <c r="I8" s="462">
        <f>industrie!I18</f>
        <v>0</v>
      </c>
      <c r="J8" s="462">
        <f>industrie!J18</f>
        <v>6.7343869117435986</v>
      </c>
      <c r="K8" s="462">
        <f>industrie!K18</f>
        <v>0</v>
      </c>
      <c r="L8" s="462">
        <f>industrie!L18</f>
        <v>0</v>
      </c>
      <c r="M8" s="462">
        <f>industrie!M18</f>
        <v>0</v>
      </c>
      <c r="N8" s="462">
        <f>industrie!N18</f>
        <v>73.726179922318209</v>
      </c>
      <c r="O8" s="462">
        <f>industrie!O18</f>
        <v>0</v>
      </c>
      <c r="P8" s="463">
        <f>industrie!P18</f>
        <v>0</v>
      </c>
      <c r="Q8" s="461">
        <f t="shared" si="0"/>
        <v>3631.6712412653128</v>
      </c>
    </row>
    <row r="9" spans="1:17" s="467" customFormat="1">
      <c r="A9" s="465" t="s">
        <v>579</v>
      </c>
      <c r="B9" s="466">
        <f>transport!B14</f>
        <v>4.657510355476755</v>
      </c>
      <c r="C9" s="466">
        <f>transport!C14</f>
        <v>0</v>
      </c>
      <c r="D9" s="466">
        <f>transport!D14</f>
        <v>13.173455278283424</v>
      </c>
      <c r="E9" s="466">
        <f>transport!E14</f>
        <v>889.1518332766168</v>
      </c>
      <c r="F9" s="466">
        <f>transport!F14</f>
        <v>0</v>
      </c>
      <c r="G9" s="466">
        <f>transport!G14</f>
        <v>153755.79843908045</v>
      </c>
      <c r="H9" s="466">
        <f>transport!H14</f>
        <v>30335.578279050103</v>
      </c>
      <c r="I9" s="466">
        <f>transport!I14</f>
        <v>0</v>
      </c>
      <c r="J9" s="466">
        <f>transport!J14</f>
        <v>0</v>
      </c>
      <c r="K9" s="466">
        <f>transport!K14</f>
        <v>0</v>
      </c>
      <c r="L9" s="466">
        <f>transport!L14</f>
        <v>0</v>
      </c>
      <c r="M9" s="466">
        <f>transport!M14</f>
        <v>8234.4272410987633</v>
      </c>
      <c r="N9" s="466">
        <f>transport!N14</f>
        <v>0</v>
      </c>
      <c r="O9" s="466">
        <f>transport!O14</f>
        <v>0</v>
      </c>
      <c r="P9" s="466">
        <f>transport!P14</f>
        <v>0</v>
      </c>
      <c r="Q9" s="465">
        <f>SUM(B9:P9)</f>
        <v>193232.7867581397</v>
      </c>
    </row>
    <row r="10" spans="1:17">
      <c r="A10" s="461" t="s">
        <v>569</v>
      </c>
      <c r="B10" s="462">
        <f>transport!B54</f>
        <v>0</v>
      </c>
      <c r="C10" s="462">
        <f>transport!C54</f>
        <v>0</v>
      </c>
      <c r="D10" s="462">
        <f>transport!D54</f>
        <v>0</v>
      </c>
      <c r="E10" s="462">
        <f>transport!E54</f>
        <v>0</v>
      </c>
      <c r="F10" s="462">
        <f>transport!F54</f>
        <v>0</v>
      </c>
      <c r="G10" s="462">
        <f>transport!G54</f>
        <v>1202.2513207101338</v>
      </c>
      <c r="H10" s="462">
        <f>transport!H54</f>
        <v>0</v>
      </c>
      <c r="I10" s="462">
        <f>transport!I54</f>
        <v>0</v>
      </c>
      <c r="J10" s="462">
        <f>transport!J54</f>
        <v>0</v>
      </c>
      <c r="K10" s="462">
        <f>transport!K54</f>
        <v>0</v>
      </c>
      <c r="L10" s="462">
        <f>transport!L54</f>
        <v>0</v>
      </c>
      <c r="M10" s="462">
        <f>transport!M54</f>
        <v>52.792838729989171</v>
      </c>
      <c r="N10" s="462">
        <f>transport!N54</f>
        <v>0</v>
      </c>
      <c r="O10" s="462">
        <f>transport!O54</f>
        <v>0</v>
      </c>
      <c r="P10" s="463">
        <f>transport!P54</f>
        <v>0</v>
      </c>
      <c r="Q10" s="461">
        <f t="shared" si="0"/>
        <v>1255.0441594401229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31290.984850864887</v>
      </c>
      <c r="C14" s="472">
        <f t="shared" ref="C14:Q14" ca="1" si="1">SUM(C4:C13)</f>
        <v>0</v>
      </c>
      <c r="D14" s="472">
        <f t="shared" ca="1" si="1"/>
        <v>80315.906867183323</v>
      </c>
      <c r="E14" s="472">
        <f t="shared" si="1"/>
        <v>2593.9980546725537</v>
      </c>
      <c r="F14" s="472">
        <f t="shared" ca="1" si="1"/>
        <v>16566.98495659083</v>
      </c>
      <c r="G14" s="472">
        <f t="shared" si="1"/>
        <v>154958.04975979059</v>
      </c>
      <c r="H14" s="472">
        <f t="shared" si="1"/>
        <v>30335.578279050103</v>
      </c>
      <c r="I14" s="472">
        <f t="shared" si="1"/>
        <v>0</v>
      </c>
      <c r="J14" s="472">
        <f t="shared" si="1"/>
        <v>23.030176173562925</v>
      </c>
      <c r="K14" s="472">
        <f t="shared" si="1"/>
        <v>0</v>
      </c>
      <c r="L14" s="472">
        <f t="shared" ca="1" si="1"/>
        <v>0</v>
      </c>
      <c r="M14" s="472">
        <f t="shared" si="1"/>
        <v>8287.2200798287522</v>
      </c>
      <c r="N14" s="472">
        <f t="shared" ca="1" si="1"/>
        <v>7138.9539135565101</v>
      </c>
      <c r="O14" s="472">
        <f t="shared" si="1"/>
        <v>93.8</v>
      </c>
      <c r="P14" s="473">
        <f t="shared" si="1"/>
        <v>152.53333333333333</v>
      </c>
      <c r="Q14" s="473">
        <f t="shared" ca="1" si="1"/>
        <v>331757.04027104442</v>
      </c>
    </row>
    <row r="16" spans="1:17">
      <c r="A16" s="475" t="s">
        <v>574</v>
      </c>
      <c r="B16" s="829">
        <f ca="1">huishoudens!B10</f>
        <v>0.21427127570611695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4083.6235129751972</v>
      </c>
      <c r="C21" s="462">
        <f t="shared" ref="C21:C30" ca="1" si="3">C4*$C$16</f>
        <v>0</v>
      </c>
      <c r="D21" s="462">
        <f t="shared" ref="D21:D30" si="4">D4*$D$16</f>
        <v>12274.529334954344</v>
      </c>
      <c r="E21" s="462">
        <f t="shared" ref="E21:E30" si="5">E4*$E$16</f>
        <v>366.93290680696305</v>
      </c>
      <c r="F21" s="462">
        <f t="shared" ref="F21:F30" si="6">F4*$F$16</f>
        <v>3666.1939576697055</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20391.279712406209</v>
      </c>
    </row>
    <row r="22" spans="1:17">
      <c r="A22" s="461" t="s">
        <v>156</v>
      </c>
      <c r="B22" s="462">
        <f t="shared" ca="1" si="2"/>
        <v>2109.4857178728812</v>
      </c>
      <c r="C22" s="462">
        <f t="shared" ca="1" si="3"/>
        <v>0</v>
      </c>
      <c r="D22" s="462">
        <f t="shared" ca="1" si="4"/>
        <v>3335.5794246166784</v>
      </c>
      <c r="E22" s="462">
        <f t="shared" si="5"/>
        <v>13.953539762585164</v>
      </c>
      <c r="F22" s="462">
        <f t="shared" ca="1" si="6"/>
        <v>469.39407175515174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5928.4127540072959</v>
      </c>
    </row>
    <row r="23" spans="1:17">
      <c r="A23" s="461" t="s">
        <v>194</v>
      </c>
      <c r="B23" s="462">
        <f t="shared" ca="1" si="2"/>
        <v>150.06317377057334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150.06317377057334</v>
      </c>
    </row>
    <row r="24" spans="1:17">
      <c r="A24" s="461" t="s">
        <v>112</v>
      </c>
      <c r="B24" s="462">
        <f t="shared" ca="1" si="2"/>
        <v>28.226210683150189</v>
      </c>
      <c r="C24" s="462">
        <f t="shared" ca="1" si="3"/>
        <v>0</v>
      </c>
      <c r="D24" s="462">
        <f t="shared" si="4"/>
        <v>343.11453820095073</v>
      </c>
      <c r="E24" s="462">
        <f t="shared" si="5"/>
        <v>0.28170611398330714</v>
      </c>
      <c r="F24" s="462">
        <f t="shared" si="6"/>
        <v>114.77865396312168</v>
      </c>
      <c r="G24" s="462">
        <f t="shared" si="7"/>
        <v>0</v>
      </c>
      <c r="H24" s="462">
        <f t="shared" si="8"/>
        <v>0</v>
      </c>
      <c r="I24" s="462">
        <f t="shared" si="9"/>
        <v>0</v>
      </c>
      <c r="J24" s="462">
        <f t="shared" si="10"/>
        <v>5.7687093986840416</v>
      </c>
      <c r="K24" s="462">
        <f t="shared" si="11"/>
        <v>0</v>
      </c>
      <c r="L24" s="462">
        <f t="shared" si="12"/>
        <v>0</v>
      </c>
      <c r="M24" s="462">
        <f t="shared" si="13"/>
        <v>0</v>
      </c>
      <c r="N24" s="462">
        <f t="shared" si="14"/>
        <v>0</v>
      </c>
      <c r="O24" s="462">
        <f t="shared" si="15"/>
        <v>0</v>
      </c>
      <c r="P24" s="463">
        <f t="shared" si="16"/>
        <v>0</v>
      </c>
      <c r="Q24" s="461">
        <f t="shared" ca="1" si="17"/>
        <v>492.16981835989003</v>
      </c>
    </row>
    <row r="25" spans="1:17">
      <c r="A25" s="461" t="s">
        <v>685</v>
      </c>
      <c r="B25" s="462">
        <f t="shared" ca="1" si="2"/>
        <v>332.36265610831492</v>
      </c>
      <c r="C25" s="462">
        <f t="shared" ca="1" si="3"/>
        <v>0</v>
      </c>
      <c r="D25" s="462">
        <f t="shared" si="4"/>
        <v>267.92885143284315</v>
      </c>
      <c r="E25" s="462">
        <f t="shared" si="5"/>
        <v>5.8319395733461583</v>
      </c>
      <c r="F25" s="462">
        <f t="shared" si="6"/>
        <v>173.0183000217732</v>
      </c>
      <c r="G25" s="462">
        <f t="shared" si="7"/>
        <v>0</v>
      </c>
      <c r="H25" s="462">
        <f t="shared" si="8"/>
        <v>0</v>
      </c>
      <c r="I25" s="462">
        <f t="shared" si="9"/>
        <v>0</v>
      </c>
      <c r="J25" s="462">
        <f t="shared" si="10"/>
        <v>2.3839729667572338</v>
      </c>
      <c r="K25" s="462">
        <f t="shared" si="11"/>
        <v>0</v>
      </c>
      <c r="L25" s="462">
        <f t="shared" si="12"/>
        <v>0</v>
      </c>
      <c r="M25" s="462">
        <f t="shared" si="13"/>
        <v>0</v>
      </c>
      <c r="N25" s="462">
        <f t="shared" si="14"/>
        <v>0</v>
      </c>
      <c r="O25" s="462">
        <f t="shared" si="15"/>
        <v>0</v>
      </c>
      <c r="P25" s="463">
        <f t="shared" si="16"/>
        <v>0</v>
      </c>
      <c r="Q25" s="461">
        <f t="shared" ca="1" si="17"/>
        <v>781.5257201030347</v>
      </c>
    </row>
    <row r="26" spans="1:17" s="467" customFormat="1">
      <c r="A26" s="465" t="s">
        <v>579</v>
      </c>
      <c r="B26" s="823">
        <f t="shared" ca="1" si="2"/>
        <v>0.99797068548245449</v>
      </c>
      <c r="C26" s="466">
        <f t="shared" ca="1" si="3"/>
        <v>0</v>
      </c>
      <c r="D26" s="466">
        <f t="shared" si="4"/>
        <v>2.6610379662132519</v>
      </c>
      <c r="E26" s="466">
        <f t="shared" si="5"/>
        <v>201.83746615379201</v>
      </c>
      <c r="F26" s="466">
        <f t="shared" si="6"/>
        <v>0</v>
      </c>
      <c r="G26" s="466">
        <f t="shared" si="7"/>
        <v>41052.798183234481</v>
      </c>
      <c r="H26" s="466">
        <f t="shared" si="8"/>
        <v>7553.5589914834754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48811.853649523444</v>
      </c>
    </row>
    <row r="27" spans="1:17">
      <c r="A27" s="461" t="s">
        <v>569</v>
      </c>
      <c r="B27" s="462">
        <f t="shared" ca="1" si="2"/>
        <v>0</v>
      </c>
      <c r="C27" s="462">
        <f t="shared" ca="1" si="3"/>
        <v>0</v>
      </c>
      <c r="D27" s="462">
        <f t="shared" si="4"/>
        <v>0</v>
      </c>
      <c r="E27" s="462">
        <f t="shared" si="5"/>
        <v>0</v>
      </c>
      <c r="F27" s="462">
        <f t="shared" si="6"/>
        <v>0</v>
      </c>
      <c r="G27" s="462">
        <f t="shared" si="7"/>
        <v>321.00110262960573</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321.00110262960573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6704.7592420955998</v>
      </c>
      <c r="C31" s="472">
        <f t="shared" ca="1" si="18"/>
        <v>0</v>
      </c>
      <c r="D31" s="472">
        <f t="shared" ca="1" si="18"/>
        <v>16223.81318717103</v>
      </c>
      <c r="E31" s="472">
        <f t="shared" si="18"/>
        <v>588.83755841066966</v>
      </c>
      <c r="F31" s="472">
        <f t="shared" ca="1" si="18"/>
        <v>4423.3849834097518</v>
      </c>
      <c r="G31" s="472">
        <f t="shared" si="18"/>
        <v>41373.799285864086</v>
      </c>
      <c r="H31" s="472">
        <f t="shared" si="18"/>
        <v>7553.5589914834754</v>
      </c>
      <c r="I31" s="472">
        <f t="shared" si="18"/>
        <v>0</v>
      </c>
      <c r="J31" s="472">
        <f t="shared" si="18"/>
        <v>8.1526823654412759</v>
      </c>
      <c r="K31" s="472">
        <f t="shared" si="18"/>
        <v>0</v>
      </c>
      <c r="L31" s="472">
        <f t="shared" ca="1" si="18"/>
        <v>0</v>
      </c>
      <c r="M31" s="472">
        <f t="shared" si="18"/>
        <v>0</v>
      </c>
      <c r="N31" s="472">
        <f t="shared" ca="1" si="18"/>
        <v>0</v>
      </c>
      <c r="O31" s="472">
        <f t="shared" si="18"/>
        <v>0</v>
      </c>
      <c r="P31" s="473">
        <f t="shared" si="18"/>
        <v>0</v>
      </c>
      <c r="Q31" s="473">
        <f t="shared" ca="1" si="18"/>
        <v>76876.305930800067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0.21427127570611695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0.21427127570611695</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0.21427127570611695</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2018-06-27T09:17:42Z</dcterms:modified>
</cp:coreProperties>
</file>