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U88"/>
  <c r="I8" s="1"/>
  <c r="J68" i="14" s="1"/>
  <c r="T88" i="18"/>
  <c r="S88"/>
  <c r="R88"/>
  <c r="Q88"/>
  <c r="P88"/>
  <c r="C8" s="1"/>
  <c r="D68" i="14" s="1"/>
  <c r="O88" i="18"/>
  <c r="N88"/>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N16" i="16" s="1"/>
  <c r="P58" i="18"/>
  <c r="D16" i="16" s="1"/>
  <c r="O58" i="1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K19" s="1"/>
  <c r="J17"/>
  <c r="I17"/>
  <c r="H17"/>
  <c r="I79" i="14" s="1"/>
  <c r="G17" i="18"/>
  <c r="G19" s="1"/>
  <c r="F17"/>
  <c r="E17"/>
  <c r="D17"/>
  <c r="C17"/>
  <c r="B17"/>
  <c r="K11"/>
  <c r="J11"/>
  <c r="I11"/>
  <c r="H11"/>
  <c r="G11"/>
  <c r="F11"/>
  <c r="E11"/>
  <c r="D11"/>
  <c r="C11"/>
  <c r="L8"/>
  <c r="L9" s="1"/>
  <c r="K8"/>
  <c r="K9" s="1"/>
  <c r="J8"/>
  <c r="H8"/>
  <c r="G8"/>
  <c r="G9" s="1"/>
  <c r="F8"/>
  <c r="F9" s="1"/>
  <c r="E8"/>
  <c r="F68" i="14" s="1"/>
  <c r="D8" i="18"/>
  <c r="D9" s="1"/>
  <c r="B8"/>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K79"/>
  <c r="G79"/>
  <c r="E79"/>
  <c r="B79"/>
  <c r="M78"/>
  <c r="L78"/>
  <c r="H78"/>
  <c r="G78"/>
  <c r="E78"/>
  <c r="L6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B38" i="13" l="1"/>
  <c r="B16" i="18"/>
  <c r="B78" i="14" s="1"/>
  <c r="B81" s="1"/>
  <c r="C13" i="15"/>
  <c r="C16" s="1"/>
  <c r="D10" i="14" s="1"/>
  <c r="D12" i="22"/>
  <c r="E17" i="14"/>
  <c r="D13" i="48"/>
  <c r="D31" i="20"/>
  <c r="E43" i="14" s="1"/>
  <c r="E12" i="22"/>
  <c r="F17" i="14"/>
  <c r="E13" i="48"/>
  <c r="I101" i="18"/>
  <c r="H16" s="1"/>
  <c r="I78" i="14" s="1"/>
  <c r="E101" i="18"/>
  <c r="E16" s="1"/>
  <c r="F78" i="14" s="1"/>
  <c r="H101" i="18"/>
  <c r="D101"/>
  <c r="G101"/>
  <c r="C101"/>
  <c r="F101"/>
  <c r="B101"/>
  <c r="C16" s="1"/>
  <c r="D78" i="14" s="1"/>
  <c r="I11" i="48"/>
  <c r="N19" i="19"/>
  <c r="O35" i="14" s="1"/>
  <c r="B8" i="9"/>
  <c r="B6" i="48" s="1"/>
  <c r="Q6" s="1"/>
  <c r="P22" i="16"/>
  <c r="Q39" i="14" s="1"/>
  <c r="P18" i="16"/>
  <c r="G22" i="14"/>
  <c r="F8" i="17"/>
  <c r="F7" i="48" s="1"/>
  <c r="F24" s="1"/>
  <c r="J8" i="17"/>
  <c r="J12" s="1"/>
  <c r="K48" i="14" s="1"/>
  <c r="O80"/>
  <c r="C97" i="18"/>
  <c r="I19" i="19"/>
  <c r="J35" i="14" s="1"/>
  <c r="B12" i="22"/>
  <c r="B13" i="48"/>
  <c r="C17" i="14"/>
  <c r="E31" i="20"/>
  <c r="F43" i="14" s="1"/>
  <c r="C19" i="18"/>
  <c r="L16" i="16"/>
  <c r="L18" s="1"/>
  <c r="N6" i="17"/>
  <c r="N5" s="1"/>
  <c r="J9" i="14"/>
  <c r="D11" i="48"/>
  <c r="D28" s="1"/>
  <c r="D14" i="15"/>
  <c r="F19" i="19"/>
  <c r="G35" i="14" s="1"/>
  <c r="L19" i="19"/>
  <c r="M35" i="14" s="1"/>
  <c r="E7" i="15"/>
  <c r="O5" i="16"/>
  <c r="O9" i="14"/>
  <c r="L11" i="48"/>
  <c r="L12" i="13"/>
  <c r="M37" i="14" s="1"/>
  <c r="J7" i="15"/>
  <c r="B13" i="16"/>
  <c r="C35"/>
  <c r="C80" i="14"/>
  <c r="L6" i="17"/>
  <c r="N13" i="15"/>
  <c r="L13"/>
  <c r="L16" s="1"/>
  <c r="K5" i="48"/>
  <c r="K22" s="1"/>
  <c r="K20" i="15"/>
  <c r="L36" i="14" s="1"/>
  <c r="F13" i="15"/>
  <c r="D13"/>
  <c r="G9" i="22"/>
  <c r="G7"/>
  <c r="G6"/>
  <c r="G8"/>
  <c r="G10"/>
  <c r="G11"/>
  <c r="M11"/>
  <c r="H8"/>
  <c r="M10"/>
  <c r="H10"/>
  <c r="H9"/>
  <c r="H11"/>
  <c r="H6"/>
  <c r="M6"/>
  <c r="H7"/>
  <c r="M8"/>
  <c r="M7"/>
  <c r="M9"/>
  <c r="B67"/>
  <c r="J18" i="14"/>
  <c r="I10" i="48"/>
  <c r="I27" s="1"/>
  <c r="E18" i="14"/>
  <c r="D10" i="48"/>
  <c r="D27" s="1"/>
  <c r="H27" i="20"/>
  <c r="N10" i="48"/>
  <c r="N27" s="1"/>
  <c r="C78" i="22"/>
  <c r="G51" s="1"/>
  <c r="M27" i="20"/>
  <c r="C64" i="14"/>
  <c r="J11" i="15"/>
  <c r="B7"/>
  <c r="N7"/>
  <c r="B11"/>
  <c r="N11"/>
  <c r="B11" i="16"/>
  <c r="C10" i="48"/>
  <c r="D18" i="14"/>
  <c r="D20" s="1"/>
  <c r="H10" i="48"/>
  <c r="H27" s="1"/>
  <c r="I18" i="14"/>
  <c r="L10" i="48"/>
  <c r="M18" i="14"/>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K27" s="1"/>
  <c r="Q18" i="14"/>
  <c r="P58" i="22"/>
  <c r="Q44" i="14"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10"/>
  <c r="I15" s="1"/>
  <c r="C66"/>
  <c r="B66"/>
  <c r="F8" i="16"/>
  <c r="D12" i="17"/>
  <c r="E48" i="14" s="1"/>
  <c r="E22"/>
  <c r="J9" i="16"/>
  <c r="B7" i="48"/>
  <c r="C22" i="14"/>
  <c r="C65"/>
  <c r="B65"/>
  <c r="F6" i="15"/>
  <c r="F8"/>
  <c r="N10" i="16"/>
  <c r="E14"/>
  <c r="L41" i="14"/>
  <c r="I41"/>
  <c r="J15"/>
  <c r="H15"/>
  <c r="L15"/>
  <c r="Q46"/>
  <c r="H69"/>
  <c r="J20"/>
  <c r="O20"/>
  <c r="M20"/>
  <c r="Q20"/>
  <c r="L69"/>
  <c r="D5" i="15"/>
  <c r="B8"/>
  <c r="J8"/>
  <c r="F12"/>
  <c r="I20"/>
  <c r="J36" i="14" s="1"/>
  <c r="J41" s="1"/>
  <c r="B9" i="16"/>
  <c r="N9"/>
  <c r="D7" i="48"/>
  <c r="D24" s="1"/>
  <c r="E8" i="15"/>
  <c r="B10"/>
  <c r="E9" i="16"/>
  <c r="F12" i="17"/>
  <c r="G48" i="14" s="1"/>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M16"/>
  <c r="M21" s="1"/>
  <c r="K29"/>
  <c r="B39" i="13"/>
  <c r="B51" s="1"/>
  <c r="F5" s="1"/>
  <c r="F8" s="1"/>
  <c r="G11" i="14" s="1"/>
  <c r="I21" i="48"/>
  <c r="G29"/>
  <c r="O21"/>
  <c r="H24"/>
  <c r="L16"/>
  <c r="L27" s="1"/>
  <c r="H21"/>
  <c r="K24"/>
  <c r="K25"/>
  <c r="Q11" i="14"/>
  <c r="P12" i="13"/>
  <c r="Q37" i="14" s="1"/>
  <c r="P4" i="48"/>
  <c r="P21" s="1"/>
  <c r="D12" i="13"/>
  <c r="E37" i="14" s="1"/>
  <c r="D4" i="48"/>
  <c r="D21" s="1"/>
  <c r="E11" i="14"/>
  <c r="F23" i="48"/>
  <c r="J23"/>
  <c r="N23"/>
  <c r="N26"/>
  <c r="H28"/>
  <c r="L28"/>
  <c r="F30"/>
  <c r="J30"/>
  <c r="N30"/>
  <c r="G23"/>
  <c r="K23"/>
  <c r="O23"/>
  <c r="G25"/>
  <c r="F26"/>
  <c r="J26"/>
  <c r="O26"/>
  <c r="F27"/>
  <c r="J27"/>
  <c r="I28"/>
  <c r="D29"/>
  <c r="H29"/>
  <c r="P29"/>
  <c r="K30"/>
  <c r="O30"/>
  <c r="C22" i="13"/>
  <c r="C21"/>
  <c r="C20"/>
  <c r="D23" i="48"/>
  <c r="H23"/>
  <c r="P23"/>
  <c r="H25"/>
  <c r="P26"/>
  <c r="F28"/>
  <c r="J28"/>
  <c r="N28"/>
  <c r="D30"/>
  <c r="P30"/>
  <c r="E23"/>
  <c r="I23"/>
  <c r="O24"/>
  <c r="I25"/>
  <c r="P11" i="14"/>
  <c r="O12" i="13"/>
  <c r="P37" i="14" s="1"/>
  <c r="B10" i="48"/>
  <c r="C18" i="14"/>
  <c r="B50" i="13"/>
  <c r="J7" i="48"/>
  <c r="J24" s="1"/>
  <c r="P24"/>
  <c r="E5" i="17"/>
  <c r="C8"/>
  <c r="G24" i="48"/>
  <c r="I24"/>
  <c r="G81" i="14"/>
  <c r="D79"/>
  <c r="H79"/>
  <c r="H81" s="1"/>
  <c r="L79"/>
  <c r="L81" s="1"/>
  <c r="F79"/>
  <c r="F81" s="1"/>
  <c r="J79"/>
  <c r="E68"/>
  <c r="E69" s="1"/>
  <c r="I68"/>
  <c r="M68"/>
  <c r="M69" s="1"/>
  <c r="D19" i="18"/>
  <c r="H19"/>
  <c r="L19"/>
  <c r="B68" i="14"/>
  <c r="G68"/>
  <c r="G69" s="1"/>
  <c r="K68"/>
  <c r="E81"/>
  <c r="I81"/>
  <c r="M81"/>
  <c r="B19" i="18"/>
  <c r="F19"/>
  <c r="D11" i="14"/>
  <c r="C4" i="48"/>
  <c r="M8" i="18"/>
  <c r="M17"/>
  <c r="M18"/>
  <c r="D13" i="14"/>
  <c r="L8" i="17" l="1"/>
  <c r="M22" i="14" s="1"/>
  <c r="L5" i="17"/>
  <c r="L29" i="48"/>
  <c r="O78" i="14"/>
  <c r="O81" s="1"/>
  <c r="B17" i="6" s="1"/>
  <c r="K22" i="14"/>
  <c r="E19" i="18"/>
  <c r="I16"/>
  <c r="C68" i="14"/>
  <c r="D8" i="48"/>
  <c r="D25" s="1"/>
  <c r="D18" i="16"/>
  <c r="D22" s="1"/>
  <c r="E39" i="14" s="1"/>
  <c r="L21" i="48"/>
  <c r="B14" i="22"/>
  <c r="B9" i="48" s="1"/>
  <c r="I17" i="14"/>
  <c r="H12" i="22"/>
  <c r="D16" i="15"/>
  <c r="D20" s="1"/>
  <c r="B35" i="13"/>
  <c r="N8" i="17"/>
  <c r="I100" i="18"/>
  <c r="H7" s="1"/>
  <c r="E100"/>
  <c r="E7" s="1"/>
  <c r="H100"/>
  <c r="D100"/>
  <c r="G100"/>
  <c r="C100"/>
  <c r="F100"/>
  <c r="B100"/>
  <c r="C7" s="1"/>
  <c r="G31" i="20"/>
  <c r="H43" i="14" s="1"/>
  <c r="G12" i="22"/>
  <c r="D81" i="14"/>
  <c r="O79"/>
  <c r="C7" i="48"/>
  <c r="D22" i="14"/>
  <c r="M23" i="48"/>
  <c r="L30"/>
  <c r="L23"/>
  <c r="M28"/>
  <c r="M22"/>
  <c r="D9"/>
  <c r="D26" s="1"/>
  <c r="D14" i="22"/>
  <c r="N17" i="14"/>
  <c r="M12" i="22"/>
  <c r="B36" i="13"/>
  <c r="B48" s="1"/>
  <c r="C48" s="1"/>
  <c r="N5" s="1"/>
  <c r="N8" s="1"/>
  <c r="N4" i="48" s="1"/>
  <c r="N21" s="1"/>
  <c r="O68" i="14"/>
  <c r="C79"/>
  <c r="L22" i="16"/>
  <c r="M39" i="14" s="1"/>
  <c r="L8" i="48"/>
  <c r="L25" s="1"/>
  <c r="M13" i="14"/>
  <c r="E8" i="17"/>
  <c r="F22" i="14" s="1"/>
  <c r="J16" i="18"/>
  <c r="E14" i="22"/>
  <c r="F19" i="14" s="1"/>
  <c r="F20" s="1"/>
  <c r="K14" i="48"/>
  <c r="B34" i="13"/>
  <c r="B46" s="1"/>
  <c r="E5" s="1"/>
  <c r="E8" s="1"/>
  <c r="E12" s="1"/>
  <c r="F37" i="14" s="1"/>
  <c r="O18" i="16"/>
  <c r="L7" i="48"/>
  <c r="L24" s="1"/>
  <c r="M13"/>
  <c r="M51" i="22"/>
  <c r="M50" s="1"/>
  <c r="M54" s="1"/>
  <c r="M10" i="48" s="1"/>
  <c r="M27" s="1"/>
  <c r="H31" i="20"/>
  <c r="I43" i="14" s="1"/>
  <c r="H13" i="48"/>
  <c r="H30" s="1"/>
  <c r="M31" i="20"/>
  <c r="N43" i="14" s="1"/>
  <c r="G50" i="22"/>
  <c r="G54" s="1"/>
  <c r="H18" i="14" s="1"/>
  <c r="G13" i="48"/>
  <c r="G30" s="1"/>
  <c r="H17" i="14"/>
  <c r="R17" s="1"/>
  <c r="M5" i="22"/>
  <c r="G5"/>
  <c r="H5"/>
  <c r="H14" s="1"/>
  <c r="I14" i="48"/>
  <c r="E5" i="15"/>
  <c r="O20"/>
  <c r="P36" i="14" s="1"/>
  <c r="P10"/>
  <c r="P20" i="15"/>
  <c r="Q36" i="14" s="1"/>
  <c r="Q41" s="1"/>
  <c r="Q53" s="1"/>
  <c r="Q10"/>
  <c r="Q15" s="1"/>
  <c r="Q23" s="1"/>
  <c r="J5" i="15"/>
  <c r="F4" i="48"/>
  <c r="F21" s="1"/>
  <c r="B69" i="14"/>
  <c r="B4" i="6" s="1"/>
  <c r="D15" i="14"/>
  <c r="J23"/>
  <c r="L53"/>
  <c r="L23"/>
  <c r="J53"/>
  <c r="F5" i="15"/>
  <c r="F16" s="1"/>
  <c r="B5"/>
  <c r="B16" s="1"/>
  <c r="E13" i="14"/>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E19"/>
  <c r="E20" s="1"/>
  <c r="O28" i="48"/>
  <c r="H22"/>
  <c r="K31"/>
  <c r="L26"/>
  <c r="M30"/>
  <c r="M29"/>
  <c r="M25"/>
  <c r="M24"/>
  <c r="I31"/>
  <c r="C50" i="13"/>
  <c r="J5" s="1"/>
  <c r="J8" s="1"/>
  <c r="C5" i="48"/>
  <c r="C14" s="1"/>
  <c r="E12" i="17" l="1"/>
  <c r="F48" i="14" s="1"/>
  <c r="L12" i="17"/>
  <c r="M48" i="14" s="1"/>
  <c r="M14" i="22"/>
  <c r="E7" i="48"/>
  <c r="E24" s="1"/>
  <c r="G14" i="22"/>
  <c r="I7" i="18"/>
  <c r="J67" i="14" s="1"/>
  <c r="J78"/>
  <c r="J81" s="1"/>
  <c r="I19" i="18"/>
  <c r="J7"/>
  <c r="M7" s="1"/>
  <c r="M9" s="1"/>
  <c r="E10" i="14"/>
  <c r="E15" s="1"/>
  <c r="E23" s="1"/>
  <c r="D5" i="48"/>
  <c r="D22" s="1"/>
  <c r="D31" s="1"/>
  <c r="J16" i="15"/>
  <c r="K10" i="14" s="1"/>
  <c r="C9" i="18"/>
  <c r="D67" i="14"/>
  <c r="N7" i="48"/>
  <c r="N24" s="1"/>
  <c r="N12" i="17"/>
  <c r="O48" i="14" s="1"/>
  <c r="K78"/>
  <c r="M16" i="18"/>
  <c r="M19" s="1"/>
  <c r="J19"/>
  <c r="O22" i="14"/>
  <c r="R22" s="1"/>
  <c r="O8" i="48"/>
  <c r="O25" s="1"/>
  <c r="P13" i="14"/>
  <c r="P15" s="1"/>
  <c r="P23" s="1"/>
  <c r="F67"/>
  <c r="F69" s="1"/>
  <c r="E9" i="18"/>
  <c r="E16" i="15"/>
  <c r="F10" i="14" s="1"/>
  <c r="O22" i="16"/>
  <c r="P39" i="14" s="1"/>
  <c r="P41" s="1"/>
  <c r="P53" s="1"/>
  <c r="P55" s="1"/>
  <c r="I9" i="18"/>
  <c r="I67" i="14"/>
  <c r="I69" s="1"/>
  <c r="H9" i="18"/>
  <c r="Q13" i="48"/>
  <c r="G18" i="22"/>
  <c r="H45" i="14" s="1"/>
  <c r="G58" i="22"/>
  <c r="H44" i="14" s="1"/>
  <c r="M58" i="22"/>
  <c r="N44" i="14" s="1"/>
  <c r="G10" i="48"/>
  <c r="G27" s="1"/>
  <c r="N18" i="14"/>
  <c r="R18" s="1"/>
  <c r="M18" i="22"/>
  <c r="N45" i="14" s="1"/>
  <c r="N46" s="1"/>
  <c r="N53" s="1"/>
  <c r="H18" i="22"/>
  <c r="I45" i="14" s="1"/>
  <c r="I46" s="1"/>
  <c r="I53" s="1"/>
  <c r="I19"/>
  <c r="I20" s="1"/>
  <c r="I23" s="1"/>
  <c r="H9" i="48"/>
  <c r="E5"/>
  <c r="E22" s="1"/>
  <c r="P14"/>
  <c r="B8"/>
  <c r="J5"/>
  <c r="J22" s="1"/>
  <c r="J20" i="15"/>
  <c r="K36" i="14" s="1"/>
  <c r="J55"/>
  <c r="L55"/>
  <c r="E36"/>
  <c r="E41" s="1"/>
  <c r="N20" i="15"/>
  <c r="O36" i="14" s="1"/>
  <c r="O10"/>
  <c r="L5" i="48"/>
  <c r="L22" s="1"/>
  <c r="L31" s="1"/>
  <c r="M10" i="14"/>
  <c r="M15" s="1"/>
  <c r="F20" i="15"/>
  <c r="G36" i="14" s="1"/>
  <c r="G10"/>
  <c r="C10"/>
  <c r="B5" i="48"/>
  <c r="B14" s="1"/>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J9" i="18" l="1"/>
  <c r="K67" i="14"/>
  <c r="K69" s="1"/>
  <c r="Q7" i="48"/>
  <c r="D14"/>
  <c r="N18" i="16"/>
  <c r="N8" i="48" s="1"/>
  <c r="J18" i="16"/>
  <c r="J8" i="48" s="1"/>
  <c r="J25" s="1"/>
  <c r="D69" i="14"/>
  <c r="O67"/>
  <c r="F18" i="16"/>
  <c r="G13" i="14" s="1"/>
  <c r="G15" s="1"/>
  <c r="G23" s="1"/>
  <c r="E18" i="16"/>
  <c r="E8" i="48" s="1"/>
  <c r="E20" i="15"/>
  <c r="F36" i="14" s="1"/>
  <c r="C78"/>
  <c r="C81" s="1"/>
  <c r="K81"/>
  <c r="O14" i="48"/>
  <c r="J69" i="14"/>
  <c r="G9" i="48"/>
  <c r="G26" s="1"/>
  <c r="G31" s="1"/>
  <c r="H19" i="14"/>
  <c r="H20" s="1"/>
  <c r="H23" s="1"/>
  <c r="Q10" i="48"/>
  <c r="H46" i="14"/>
  <c r="H53" s="1"/>
  <c r="N19"/>
  <c r="N20" s="1"/>
  <c r="N23" s="1"/>
  <c r="N55" s="1"/>
  <c r="M9" i="48"/>
  <c r="I55" i="14"/>
  <c r="H26" i="48"/>
  <c r="H31" s="1"/>
  <c r="H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J31" s="1"/>
  <c r="J14"/>
  <c r="R10" i="14"/>
  <c r="F22" i="16" l="1"/>
  <c r="G39" i="14" s="1"/>
  <c r="G41" s="1"/>
  <c r="G53" s="1"/>
  <c r="G55" s="1"/>
  <c r="O69" s="1"/>
  <c r="B9" i="6" s="1"/>
  <c r="B12" s="1"/>
  <c r="F8" i="48"/>
  <c r="Q8" s="1"/>
  <c r="Q14" s="1"/>
  <c r="Q9"/>
  <c r="K13" i="14"/>
  <c r="K15" s="1"/>
  <c r="K23" s="1"/>
  <c r="C67"/>
  <c r="C69" s="1"/>
  <c r="E25" i="48"/>
  <c r="E31" s="1"/>
  <c r="E14"/>
  <c r="N25"/>
  <c r="N14"/>
  <c r="E22" i="16"/>
  <c r="F39" i="14" s="1"/>
  <c r="F41" s="1"/>
  <c r="F53" s="1"/>
  <c r="F55" s="1"/>
  <c r="J22" i="16"/>
  <c r="K39" i="14" s="1"/>
  <c r="K41" s="1"/>
  <c r="K53" s="1"/>
  <c r="N31" i="48"/>
  <c r="F13" i="14"/>
  <c r="F15" s="1"/>
  <c r="F23" s="1"/>
  <c r="G14" i="48"/>
  <c r="H55" i="14"/>
  <c r="M14" i="48"/>
  <c r="R19" i="14"/>
  <c r="R20" s="1"/>
  <c r="M26" i="48"/>
  <c r="M31" s="1"/>
  <c r="O53" i="14"/>
  <c r="M53"/>
  <c r="M55" s="1"/>
  <c r="C12" i="13"/>
  <c r="D37" i="14" s="1"/>
  <c r="D41" s="1"/>
  <c r="C23" i="48"/>
  <c r="C24"/>
  <c r="C27"/>
  <c r="C28"/>
  <c r="C22"/>
  <c r="C25"/>
  <c r="C29"/>
  <c r="C21"/>
  <c r="C26"/>
  <c r="K55" i="14"/>
  <c r="R13"/>
  <c r="R15" s="1"/>
  <c r="F25" i="48" l="1"/>
  <c r="F31" s="1"/>
  <c r="F14"/>
  <c r="B18" i="15"/>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R23"/>
  <c r="D53"/>
  <c r="D55" s="1"/>
  <c r="C31" i="48"/>
  <c r="O23" i="14"/>
  <c r="O55" s="1"/>
  <c r="B16" i="48"/>
  <c r="B28" s="1"/>
  <c r="Q28" s="1"/>
  <c r="R46" i="14" l="1"/>
  <c r="C36"/>
  <c r="R36" s="1"/>
  <c r="R41" s="1"/>
  <c r="C46"/>
  <c r="B27" i="48"/>
  <c r="Q27" s="1"/>
  <c r="B26"/>
  <c r="Q26" s="1"/>
  <c r="B23"/>
  <c r="Q23" s="1"/>
  <c r="B25"/>
  <c r="Q25" s="1"/>
  <c r="B29"/>
  <c r="Q29" s="1"/>
  <c r="B21"/>
  <c r="Q21" s="1"/>
  <c r="B24"/>
  <c r="Q24" s="1"/>
  <c r="B22"/>
  <c r="Q22" s="1"/>
  <c r="B30"/>
  <c r="Q30" s="1"/>
  <c r="R53" i="14" l="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<sst xmlns="http://schemas.openxmlformats.org/spreadsheetml/2006/main" count="2018" uniqueCount="877">
  <si>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</si>
  <si>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</si>
  <si>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</si>
  <si>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</si>
  <si>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</si>
  <si>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</si>
  <si>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</si>
  <si>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</si>
  <si>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</si>
  <si>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</si>
  <si>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</si>
  <si>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</si>
  <si>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</si>
  <si>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</si>
  <si>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</si>
  <si>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</si>
  <si>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</si>
  <si>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</si>
  <si>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</si>
  <si>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</si>
  <si>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</si>
  <si>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</si>
  <si>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</si>
  <si>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</si>
  <si>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</si>
  <si>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</si>
  <si>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</si>
  <si>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</si>
  <si>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</si>
  <si>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</si>
  <si>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</si>
  <si>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</si>
  <si>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</si>
  <si>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</si>
  <si>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</si>
  <si>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</si>
  <si>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</si>
  <si>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</si>
  <si>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</si>
  <si>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</si>
  <si>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</si>
  <si>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</si>
  <si>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</si>
  <si>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</si>
  <si>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</si>
  <si>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</si>
  <si>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</si>
  <si>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</si>
  <si>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</si>
  <si>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</si>
  <si>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</si>
  <si>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</si>
  <si>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</si>
  <si>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</si>
  <si>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</si>
  <si>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</si>
  <si>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</si>
  <si>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</si>
  <si>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</si>
  <si>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</si>
  <si>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</si>
  <si>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</si>
  <si>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</si>
  <si>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</si>
  <si>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</si>
  <si>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</si>
  <si>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</si>
  <si>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</si>
  <si>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</si>
  <si>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</si>
  <si>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</si>
  <si>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</si>
  <si>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</si>
  <si>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</si>
  <si>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</si>
  <si>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</si>
  <si>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</si>
  <si>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</si>
  <si>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</si>
  <si>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</si>
  <si>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</si>
  <si>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</si>
  <si>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</si>
  <si>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</si>
  <si>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</si>
  <si>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</si>
  <si>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</si>
  <si>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</si>
  <si>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</si>
  <si>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</si>
  <si>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</si>
  <si>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</si>
  <si>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</si>
  <si>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</si>
  <si>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</si>
  <si>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</si>
  <si>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</si>
  <si>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</si>
  <si>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</si>
  <si>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</si>
  <si>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</si>
  <si>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</si>
  <si>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</si>
  <si>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</si>
  <si>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</si>
  <si>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</si>
  <si>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</si>
  <si>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</si>
  <si>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</si>
  <si>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</si>
  <si>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</si>
  <si>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</si>
  <si>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</si>
  <si>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</si>
  <si>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</si>
  <si>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</si>
  <si>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</si>
  <si>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</si>
  <si>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</si>
  <si>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</si>
  <si>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</si>
  <si>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</si>
  <si>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</si>
  <si>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</si>
  <si>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</si>
  <si>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</si>
  <si>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</si>
  <si>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</si>
  <si>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</si>
  <si>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</si>
  <si>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</si>
  <si>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</si>
  <si>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</si>
  <si>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</si>
  <si>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</si>
  <si>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</si>
  <si>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</si>
  <si>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</si>
  <si>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</si>
  <si>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</si>
  <si>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</si>
  <si>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</si>
  <si>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</si>
  <si>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</si>
  <si>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</si>
  <si>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</si>
  <si>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</si>
  <si>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</si>
  <si>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</si>
  <si>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</si>
  <si>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</si>
  <si>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</si>
  <si>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</si>
  <si>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</si>
  <si>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</si>
  <si>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</si>
  <si>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</si>
  <si>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</si>
  <si>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</si>
  <si>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</si>
  <si>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</si>
  <si>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</si>
  <si>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</si>
  <si>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</si>
  <si>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</si>
  <si>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</si>
  <si>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</si>
  <si>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</si>
  <si>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</si>
  <si>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</si>
  <si>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</si>
  <si>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</si>
  <si>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</si>
  <si>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</si>
  <si>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</si>
  <si>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</si>
  <si>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</si>
  <si>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</si>
  <si>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</si>
  <si>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</si>
  <si>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</si>
  <si>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</si>
  <si>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</si>
  <si>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</si>
  <si>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</si>
  <si>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</si>
  <si>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</si>
  <si>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</si>
  <si>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</si>
  <si>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</si>
  <si>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</si>
  <si>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</si>
  <si>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</si>
  <si>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</si>
  <si>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</si>
  <si>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</si>
  <si>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</si>
  <si>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</si>
  <si>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</si>
  <si>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</si>
  <si>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</si>
  <si>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</si>
  <si>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</si>
  <si>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</si>
  <si>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</si>
  <si>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</si>
  <si>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</si>
  <si>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</si>
  <si>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</si>
  <si>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</si>
  <si>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</si>
  <si>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</si>
  <si>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</si>
  <si>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</si>
  <si>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</si>
  <si>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</si>
  <si>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</si>
  <si>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</si>
  <si>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</si>
  <si>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</si>
  <si>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</si>
  <si>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</si>
  <si>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</si>
  <si>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</si>
  <si>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</si>
  <si>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</si>
  <si>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</si>
  <si>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</si>
  <si>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</si>
  <si>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</si>
  <si>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</si>
  <si>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</si>
  <si>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</si>
  <si>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</si>
  <si>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</si>
  <si>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</si>
  <si>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</si>
  <si>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</si>
  <si>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</si>
  <si>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</si>
  <si>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</si>
  <si>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</si>
  <si>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</si>
  <si>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</si>
  <si>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</si>
  <si>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</si>
  <si>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</si>
  <si>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</si>
  <si>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</si>
  <si>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</si>
  <si>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</si>
  <si>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</si>
  <si>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</si>
  <si>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</si>
  <si>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</si>
  <si>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</si>
  <si>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</si>
  <si>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</si>
  <si>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</si>
  <si>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</si>
  <si>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</si>
  <si>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</si>
  <si>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</si>
  <si>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</si>
  <si>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</si>
  <si>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</si>
  <si>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</si>
  <si>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</si>
  <si>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</si>
  <si>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</si>
  <si>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</si>
  <si>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</si>
  <si>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</si>
  <si>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</si>
  <si>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</si>
  <si>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</si>
  <si>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</si>
  <si>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</si>
  <si>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</si>
  <si>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</si>
  <si>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</si>
  <si>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</si>
  <si>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</si>
  <si>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</si>
  <si>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</si>
  <si>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</si>
  <si>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</si>
  <si>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</si>
  <si>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</si>
  <si>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</si>
  <si>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</si>
  <si>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</si>
  <si>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</si>
  <si>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</si>
  <si>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</si>
  <si>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</si>
  <si>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</si>
  <si>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</si>
  <si>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</si>
  <si>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</si>
  <si>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</si>
  <si>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</si>
  <si>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</si>
  <si>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</si>
  <si>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</si>
  <si>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</si>
  <si>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</si>
  <si>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</si>
  <si>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</si>
  <si>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</si>
  <si>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</si>
  <si>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</si>
  <si>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</si>
  <si>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</si>
  <si>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</si>
  <si>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</si>
  <si>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</si>
  <si>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</si>
  <si>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</si>
  <si>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</si>
  <si>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</si>
  <si>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</si>
  <si>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</si>
  <si>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</si>
  <si>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</si>
  <si>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</si>
  <si>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</si>
  <si>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</si>
  <si>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</si>
  <si>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</si>
  <si>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</si>
  <si>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</si>
  <si>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</si>
  <si>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</si>
  <si>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</si>
  <si>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</si>
  <si>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</si>
  <si>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</si>
  <si>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</si>
  <si>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</si>
  <si>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</si>
  <si>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</si>
  <si>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</si>
  <si>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</si>
  <si>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</si>
  <si>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</si>
  <si>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</si>
  <si>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</si>
  <si>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</si>
  <si>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</si>
  <si>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</si>
  <si>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</si>
  <si>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</si>
  <si>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</si>
  <si>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</si>
  <si>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</si>
  <si>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</si>
  <si>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</si>
  <si>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</si>
  <si>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</si>
  <si>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</si>
  <si>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</si>
  <si>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</si>
  <si>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</si>
  <si>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</si>
  <si>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</si>
  <si>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</si>
  <si>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</si>
  <si>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</si>
  <si>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</si>
  <si>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</si>
  <si>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</si>
  <si>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</si>
  <si>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</si>
  <si>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</si>
  <si>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</si>
  <si>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</si>
  <si>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</si>
  <si>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</si>
  <si>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</si>
  <si>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</si>
  <si>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</si>
  <si>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</si>
  <si>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</si>
  <si>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</si>
  <si>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</si>
  <si>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</si>
  <si>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</si>
  <si>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</si>
  <si>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</si>
  <si>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</si>
  <si>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</si>
  <si>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</si>
  <si>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</si>
  <si>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</si>
  <si>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</si>
  <si>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</si>
  <si>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</si>
  <si>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</si>
  <si>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</si>
  <si>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</si>
  <si>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</si>
  <si>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</si>
  <si>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</si>
  <si>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</si>
  <si>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</si>
  <si>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</si>
  <si>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</si>
  <si>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</si>
  <si>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</si>
  <si>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</si>
  <si>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</si>
  <si>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</si>
  <si>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</si>
  <si>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</si>
  <si>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</si>
  <si>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</si>
  <si>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</si>
  <si>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</si>
  <si>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</si>
  <si>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</si>
  <si>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</si>
  <si>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</si>
  <si>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</si>
  <si>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</si>
  <si>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</si>
  <si>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</si>
  <si>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</si>
  <si>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</si>
  <si>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</si>
  <si>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</si>
  <si>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</si>
  <si>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</si>
  <si>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</si>
  <si>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</si>
  <si>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</si>
  <si>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</si>
  <si>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</si>
  <si>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</si>
  <si>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</si>
  <si>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</si>
  <si>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</si>
  <si>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</si>
  <si>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</si>
  <si>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</si>
  <si>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</si>
  <si>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</si>
  <si>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</si>
  <si>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</si>
  <si>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</si>
  <si>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</si>
  <si>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</si>
  <si>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</si>
  <si>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</si>
  <si>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</si>
  <si>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</si>
  <si>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</si>
  <si>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</si>
  <si>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</si>
  <si>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</si>
  <si>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</si>
  <si>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</si>
  <si>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</si>
  <si>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</si>
  <si>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</si>
  <si>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</si>
  <si>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</si>
  <si>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</si>
  <si>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</si>
  <si>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</si>
  <si>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</si>
  <si>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</si>
  <si>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</si>
  <si>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</si>
  <si>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</si>
  <si>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</si>
  <si>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</si>
  <si>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</si>
  <si>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</si>
  <si>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</si>
  <si>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</si>
  <si>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</si>
  <si>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</si>
  <si>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</si>
  <si>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</si>
  <si>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</si>
  <si>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</si>
  <si>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</si>
  <si>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</si>
  <si>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</si>
  <si>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</si>
  <si>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</si>
  <si>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</si>
  <si>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</si>
  <si>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</si>
  <si>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</si>
  <si>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</si>
  <si>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</si>
  <si>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</si>
  <si>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</si>
  <si>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</si>
  <si>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</si>
  <si>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</si>
  <si>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</si>
  <si>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</si>
  <si>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</si>
  <si>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</si>
  <si>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</si>
  <si>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</si>
  <si>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</si>
  <si>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</si>
  <si>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</si>
  <si>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</si>
  <si>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</si>
  <si>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</si>
  <si>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</si>
  <si>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</si>
  <si>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</si>
  <si>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</si>
  <si>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</si>
  <si>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</si>
  <si>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</si>
  <si>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</si>
  <si>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</si>
  <si>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</si>
  <si>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</si>
  <si>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</si>
  <si>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</si>
  <si>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</si>
  <si>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</si>
  <si>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</si>
  <si>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</si>
  <si>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</si>
  <si>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</si>
  <si>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</si>
  <si>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</si>
  <si>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</si>
  <si>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</si>
  <si>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</si>
  <si>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</si>
  <si>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</si>
  <si>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</si>
  <si>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</si>
  <si>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</si>
  <si>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</si>
  <si>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</si>
  <si>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</si>
  <si>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</si>
  <si>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</si>
  <si>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</si>
  <si>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</si>
  <si>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</si>
  <si>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</si>
  <si>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</si>
  <si>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</si>
  <si>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</si>
  <si>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</si>
  <si>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</si>
  <si>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</si>
  <si>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</si>
  <si>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</si>
  <si>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</si>
  <si>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</si>
  <si>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</si>
  <si>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</si>
  <si>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</si>
  <si>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</si>
  <si>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</si>
  <si>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</si>
  <si>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</si>
  <si>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</si>
  <si>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</si>
  <si>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</si>
  <si>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</si>
  <si>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</si>
  <si>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</si>
  <si>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</si>
  <si>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</si>
  <si>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</si>
  <si>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</si>
  <si>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</si>
  <si>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</si>
  <si>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</si>
  <si>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</si>
  <si>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</si>
  <si>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</si>
  <si>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</si>
  <si>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</si>
  <si>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</si>
  <si>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</si>
  <si>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</si>
  <si>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</si>
  <si>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</si>
  <si>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</si>
  <si>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</si>
  <si>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</si>
  <si>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</si>
  <si>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</si>
  <si>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</si>
  <si>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</si>
  <si>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</si>
  <si>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</si>
  <si>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</si>
  <si>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</si>
  <si>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</si>
  <si>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</si>
  <si>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</si>
  <si>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</si>
  <si>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</si>
  <si>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</si>
  <si>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</si>
  <si>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</si>
  <si>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</si>
  <si>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</si>
  <si>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</si>
  <si>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</si>
  <si>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</si>
  <si>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</si>
  <si>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</si>
  <si>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</si>
  <si>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</si>
  <si>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</si>
  <si>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</si>
  <si>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</si>
  <si>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</si>
  <si>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</si>
  <si>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</si>
  <si>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</si>
  <si>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</si>
  <si>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</si>
  <si>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</si>
  <si>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</si>
  <si>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</si>
  <si>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</si>
  <si>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</si>
  <si>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</si>
  <si>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</si>
  <si>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</si>
  <si>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</si>
  <si>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</si>
  <si>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</si>
  <si>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</si>
  <si>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</si>
  <si>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</si>
  <si>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</si>
  <si>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</si>
  <si>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</si>
  <si>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</si>
  <si>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</si>
  <si>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</si>
  <si>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</si>
  <si>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</si>
  <si>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</si>
  <si>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</si>
  <si>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</si>
  <si>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</si>
  <si>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</si>
  <si>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</si>
  <si>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</si>
  <si>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</si>
  <si>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</si>
  <si>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</si>
  <si>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</si>
  <si>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</si>
  <si>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</si>
  <si>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</si>
  <si>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</si>
  <si>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</si>
  <si>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</si>
  <si>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</si>
  <si>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</si>
  <si>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</si>
  <si>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</si>
  <si>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</si>
  <si>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</si>
  <si>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</si>
  <si>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</si>
  <si>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</si>
  <si>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</si>
  <si>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</si>
  <si>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</si>
  <si>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</si>
  <si>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</si>
  <si>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</si>
  <si>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</si>
  <si>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</si>
  <si>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</si>
  <si>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</si>
  <si>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</si>
  <si>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</si>
  <si>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</si>
  <si>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</si>
  <si>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</si>
  <si>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</si>
  <si>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</si>
  <si>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</si>
  <si>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</si>
  <si>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</si>
  <si>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</si>
  <si>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</si>
  <si>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</si>
  <si>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</si>
  <si>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</si>
  <si>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</si>
  <si>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</si>
  <si>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</si>
  <si>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</si>
  <si>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</si>
  <si>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</si>
  <si>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</si>
  <si>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</si>
  <si>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</si>
  <si>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</si>
  <si>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</si>
  <si>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</si>
  <si>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</si>
  <si>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</si>
  <si>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</si>
  <si>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</si>
  <si>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</si>
  <si>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</si>
  <si>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</si>
  <si>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</si>
  <si>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</si>
  <si>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</si>
  <si>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</si>
  <si>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</si>
  <si>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</si>
  <si>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</si>
  <si>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</si>
  <si>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</si>
  <si>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</si>
  <si>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</si>
  <si>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</si>
  <si>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</si>
  <si>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</si>
  <si>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</si>
  <si>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</si>
  <si>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</si>
  <si>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</si>
  <si>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</si>
  <si>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</si>
  <si>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</si>
  <si>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</si>
  <si>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</si>
  <si>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</si>
  <si>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</si>
  <si>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</si>
  <si>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</si>
  <si>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</si>
  <si>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</si>
  <si>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</si>
  <si>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</si>
  <si>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</si>
  <si>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</si>
  <si>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</si>
  <si>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</si>
  <si>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</si>
  <si>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</si>
  <si>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</si>
  <si>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</si>
  <si>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</si>
  <si>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</si>
  <si>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</si>
  <si>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</si>
  <si>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</si>
  <si>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</si>
  <si>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</si>
  <si>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</si>
  <si>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</si>
  <si>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</si>
  <si>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</si>
  <si>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</si>
  <si>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</si>
  <si>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</si>
  <si>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</si>
  <si>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</si>
  <si>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</si>
  <si>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</si>
  <si>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</si>
  <si>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</si>
  <si>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</si>
  <si>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</si>
  <si>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</si>
  <si>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</si>
  <si>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</si>
  <si>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</si>
  <si>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</si>
  <si>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</si>
  <si>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</si>
  <si>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</si>
  <si>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</si>
  <si>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</si>
  <si>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</si>
  <si>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</si>
  <si>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</si>
  <si>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</si>
  <si>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</si>
  <si>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</si>
  <si>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</si>
  <si>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</si>
  <si>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</si>
  <si>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</si>
  <si>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</si>
  <si>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</si>
  <si>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</si>
  <si>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</si>
  <si>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</si>
  <si>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</si>
  <si>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</si>
  <si>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</si>
  <si>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</si>
  <si>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</si>
  <si>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</si>
  <si>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</si>
  <si>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</si>
  <si>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</si>
  <si>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</si>
  <si>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</si>
  <si>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</si>
  <si>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</si>
  <si>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</si>
  <si>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</si>
  <si>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</si>
  <si>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</si>
  <si>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</si>
  <si>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</si>
  <si>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</si>
  <si>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</si>
  <si>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</si>
  <si>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</si>
  <si>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</si>
  <si>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</si>
  <si>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</si>
  <si>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</si>
  <si>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</si>
  <si>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</si>
  <si>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</si>
  <si>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</si>
  <si>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</si>
  <si>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</si>
  <si>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</si>
  <si>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</si>
  <si>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</si>
  <si>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</si>
  <si>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</si>
  <si>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</si>
  <si>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</si>
  <si>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</si>
  <si>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</si>
  <si>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</si>
  <si>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</si>
  <si>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</si>
  <si>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</si>
  <si>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</si>
  <si>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</si>
  <si>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</si>
  <si>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</si>
  <si>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</si>
  <si>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</si>
  <si>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</si>
  <si>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</si>
  <si>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</si>
  <si>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</si>
  <si>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</si>
  <si>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</si>
  <si>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</si>
  <si>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</si>
  <si>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</si>
  <si>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</si>
  <si>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</si>
  <si>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23016</t>
  </si>
  <si>
    <t>DILBEEK</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</si>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</sst>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23016</v>
      </c>
      <c r="B6" s="397"/>
      <c r="C6" s="398"/>
    </row>
    <row r="7" spans="1:7" s="395" customFormat="1" ht="15.75" customHeight="1">
      <c r="A7" s="399" t="str">
        <f>txtMunicipality</f>
        <v>DILBEEK</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59922.533535920265</v>
      </c>
      <c r="D10" s="703">
        <f ca="1">tertiair!C16</f>
        <v>0</v>
      </c>
      <c r="E10" s="703">
        <f ca="1">tertiair!D16</f>
        <v>67697.989557373163</v>
      </c>
      <c r="F10" s="703">
        <f>tertiair!E16</f>
        <v>638.52388025779624</v>
      </c>
      <c r="G10" s="703">
        <f ca="1">tertiair!F16</f>
        <v>11467.920559746039</v>
      </c>
      <c r="H10" s="703">
        <f>tertiair!G16</f>
        <v>0</v>
      </c>
      <c r="I10" s="703">
        <f>tertiair!H16</f>
        <v>0</v>
      </c>
      <c r="J10" s="703">
        <f>tertiair!I16</f>
        <v>0</v>
      </c>
      <c r="K10" s="703">
        <f>tertiair!J16</f>
        <v>0</v>
      </c>
      <c r="L10" s="703">
        <f>tertiair!K16</f>
        <v>0</v>
      </c>
      <c r="M10" s="703">
        <f ca="1">tertiair!L16</f>
        <v>0</v>
      </c>
      <c r="N10" s="703">
        <f>tertiair!M16</f>
        <v>0</v>
      </c>
      <c r="O10" s="703">
        <f ca="1">tertiair!N16</f>
        <v>2826.2246185126141</v>
      </c>
      <c r="P10" s="703">
        <f>tertiair!O16</f>
        <v>0</v>
      </c>
      <c r="Q10" s="704">
        <f>tertiair!P16</f>
        <v>0</v>
      </c>
      <c r="R10" s="706">
        <f ca="1">SUM(C10:Q10)</f>
        <v>142553.19215180987</v>
      </c>
      <c r="S10" s="68"/>
    </row>
    <row r="11" spans="1:19" s="458" customFormat="1">
      <c r="A11" s="859" t="s">
        <v>225</v>
      </c>
      <c r="B11" s="864"/>
      <c r="C11" s="703">
        <f>huishoudens!B8</f>
        <v>71979.495002070078</v>
      </c>
      <c r="D11" s="703">
        <f>huishoudens!C8</f>
        <v>0</v>
      </c>
      <c r="E11" s="703">
        <f>huishoudens!D8</f>
        <v>198670.01795505642</v>
      </c>
      <c r="F11" s="703">
        <f>huishoudens!E8</f>
        <v>6165.9879846413305</v>
      </c>
      <c r="G11" s="703">
        <f>huishoudens!F8</f>
        <v>46718.38414828408</v>
      </c>
      <c r="H11" s="703">
        <f>huishoudens!G8</f>
        <v>0</v>
      </c>
      <c r="I11" s="703">
        <f>huishoudens!H8</f>
        <v>0</v>
      </c>
      <c r="J11" s="703">
        <f>huishoudens!I8</f>
        <v>0</v>
      </c>
      <c r="K11" s="703">
        <f>huishoudens!J8</f>
        <v>0</v>
      </c>
      <c r="L11" s="703">
        <f>huishoudens!K8</f>
        <v>0</v>
      </c>
      <c r="M11" s="703">
        <f>huishoudens!L8</f>
        <v>0</v>
      </c>
      <c r="N11" s="703">
        <f>huishoudens!M8</f>
        <v>0</v>
      </c>
      <c r="O11" s="703">
        <f>huishoudens!N8</f>
        <v>12310.025181326026</v>
      </c>
      <c r="P11" s="703">
        <f>huishoudens!O8</f>
        <v>201.67000000000004</v>
      </c>
      <c r="Q11" s="704">
        <f>huishoudens!P8</f>
        <v>438.5333333333333</v>
      </c>
      <c r="R11" s="706">
        <f>SUM(C11:Q11)</f>
        <v>336484.11360471125</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32278.960537196683</v>
      </c>
      <c r="D13" s="703">
        <f>industrie!C18</f>
        <v>0</v>
      </c>
      <c r="E13" s="703">
        <f>industrie!D18</f>
        <v>57277.84018998831</v>
      </c>
      <c r="F13" s="703">
        <f>industrie!E18</f>
        <v>282.64447026444645</v>
      </c>
      <c r="G13" s="703">
        <f>industrie!F18</f>
        <v>8062.335708406601</v>
      </c>
      <c r="H13" s="703">
        <f>industrie!G18</f>
        <v>0</v>
      </c>
      <c r="I13" s="703">
        <f>industrie!H18</f>
        <v>0</v>
      </c>
      <c r="J13" s="703">
        <f>industrie!I18</f>
        <v>0</v>
      </c>
      <c r="K13" s="703">
        <f>industrie!J18</f>
        <v>141.07986045751133</v>
      </c>
      <c r="L13" s="703">
        <f>industrie!K18</f>
        <v>0</v>
      </c>
      <c r="M13" s="703">
        <f>industrie!L18</f>
        <v>0</v>
      </c>
      <c r="N13" s="703">
        <f>industrie!M18</f>
        <v>0</v>
      </c>
      <c r="O13" s="703">
        <f>industrie!N18</f>
        <v>1119.6154305968353</v>
      </c>
      <c r="P13" s="703">
        <f>industrie!O18</f>
        <v>0</v>
      </c>
      <c r="Q13" s="704">
        <f>industrie!P18</f>
        <v>0</v>
      </c>
      <c r="R13" s="706">
        <f>SUM(C13:Q13)</f>
        <v>99162.4761969104</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164180.98907518704</v>
      </c>
      <c r="D15" s="708">
        <f t="shared" ref="D15:Q15" ca="1" si="0">SUM(D9:D14)</f>
        <v>0</v>
      </c>
      <c r="E15" s="708">
        <f t="shared" ca="1" si="0"/>
        <v>323645.84770241793</v>
      </c>
      <c r="F15" s="708">
        <f t="shared" si="0"/>
        <v>7087.1563351635732</v>
      </c>
      <c r="G15" s="708">
        <f t="shared" ca="1" si="0"/>
        <v>66248.640416436712</v>
      </c>
      <c r="H15" s="708">
        <f t="shared" si="0"/>
        <v>0</v>
      </c>
      <c r="I15" s="708">
        <f t="shared" si="0"/>
        <v>0</v>
      </c>
      <c r="J15" s="708">
        <f t="shared" si="0"/>
        <v>0</v>
      </c>
      <c r="K15" s="708">
        <f t="shared" si="0"/>
        <v>141.07986045751133</v>
      </c>
      <c r="L15" s="708">
        <f t="shared" si="0"/>
        <v>0</v>
      </c>
      <c r="M15" s="708">
        <f t="shared" ca="1" si="0"/>
        <v>0</v>
      </c>
      <c r="N15" s="708">
        <f t="shared" si="0"/>
        <v>0</v>
      </c>
      <c r="O15" s="708">
        <f t="shared" ca="1" si="0"/>
        <v>16255.865230435475</v>
      </c>
      <c r="P15" s="708">
        <f t="shared" si="0"/>
        <v>201.67000000000004</v>
      </c>
      <c r="Q15" s="709">
        <f t="shared" si="0"/>
        <v>438.5333333333333</v>
      </c>
      <c r="R15" s="710">
        <f ca="1">SUM(R9:R14)</f>
        <v>578199.78195343155</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7795.1940605343079</v>
      </c>
      <c r="I18" s="703">
        <f>transport!H54</f>
        <v>0</v>
      </c>
      <c r="J18" s="703">
        <f>transport!I54</f>
        <v>0</v>
      </c>
      <c r="K18" s="703">
        <f>transport!J54</f>
        <v>0</v>
      </c>
      <c r="L18" s="703">
        <f>transport!K54</f>
        <v>0</v>
      </c>
      <c r="M18" s="703">
        <f>transport!L54</f>
        <v>0</v>
      </c>
      <c r="N18" s="703">
        <f>transport!M54</f>
        <v>342.29983017500729</v>
      </c>
      <c r="O18" s="703">
        <f>transport!N54</f>
        <v>0</v>
      </c>
      <c r="P18" s="703">
        <f>transport!O54</f>
        <v>0</v>
      </c>
      <c r="Q18" s="704">
        <f>transport!P54</f>
        <v>0</v>
      </c>
      <c r="R18" s="706">
        <f>SUM(C18:Q18)</f>
        <v>8137.4938907093156</v>
      </c>
      <c r="S18" s="68"/>
    </row>
    <row r="19" spans="1:19" s="458" customFormat="1" ht="15" thickBot="1">
      <c r="A19" s="859" t="s">
        <v>307</v>
      </c>
      <c r="B19" s="864"/>
      <c r="C19" s="712">
        <f>transport!B14</f>
        <v>14.928351269988426</v>
      </c>
      <c r="D19" s="712">
        <f>transport!C14</f>
        <v>0</v>
      </c>
      <c r="E19" s="712">
        <f>transport!D14</f>
        <v>42.459672634294385</v>
      </c>
      <c r="F19" s="712">
        <f>transport!E14</f>
        <v>2819.1002234973635</v>
      </c>
      <c r="G19" s="712">
        <f>transport!F14</f>
        <v>0</v>
      </c>
      <c r="H19" s="712">
        <f>transport!G14</f>
        <v>502910.83735708141</v>
      </c>
      <c r="I19" s="712">
        <f>transport!H14</f>
        <v>97346.403191214296</v>
      </c>
      <c r="J19" s="712">
        <f>transport!I14</f>
        <v>0</v>
      </c>
      <c r="K19" s="712">
        <f>transport!J14</f>
        <v>0</v>
      </c>
      <c r="L19" s="712">
        <f>transport!K14</f>
        <v>0</v>
      </c>
      <c r="M19" s="712">
        <f>transport!L14</f>
        <v>0</v>
      </c>
      <c r="N19" s="712">
        <f>transport!M14</f>
        <v>26847.680018266885</v>
      </c>
      <c r="O19" s="712">
        <f>transport!N14</f>
        <v>0</v>
      </c>
      <c r="P19" s="712">
        <f>transport!O14</f>
        <v>0</v>
      </c>
      <c r="Q19" s="713">
        <f>transport!P14</f>
        <v>0</v>
      </c>
      <c r="R19" s="714">
        <f>SUM(C19:Q19)</f>
        <v>629981.40881396423</v>
      </c>
      <c r="S19" s="68"/>
    </row>
    <row r="20" spans="1:19" s="458" customFormat="1" ht="15.75" thickBot="1">
      <c r="A20" s="715" t="s">
        <v>230</v>
      </c>
      <c r="B20" s="867"/>
      <c r="C20" s="862">
        <f>SUM(C17:C19)</f>
        <v>14.928351269988426</v>
      </c>
      <c r="D20" s="716">
        <f t="shared" ref="D20:R20" si="1">SUM(D17:D19)</f>
        <v>0</v>
      </c>
      <c r="E20" s="716">
        <f t="shared" si="1"/>
        <v>42.459672634294385</v>
      </c>
      <c r="F20" s="716">
        <f t="shared" si="1"/>
        <v>2819.1002234973635</v>
      </c>
      <c r="G20" s="716">
        <f t="shared" si="1"/>
        <v>0</v>
      </c>
      <c r="H20" s="716">
        <f t="shared" si="1"/>
        <v>510706.03141761571</v>
      </c>
      <c r="I20" s="716">
        <f t="shared" si="1"/>
        <v>97346.403191214296</v>
      </c>
      <c r="J20" s="716">
        <f t="shared" si="1"/>
        <v>0</v>
      </c>
      <c r="K20" s="716">
        <f t="shared" si="1"/>
        <v>0</v>
      </c>
      <c r="L20" s="716">
        <f t="shared" si="1"/>
        <v>0</v>
      </c>
      <c r="M20" s="716">
        <f t="shared" si="1"/>
        <v>0</v>
      </c>
      <c r="N20" s="716">
        <f t="shared" si="1"/>
        <v>27189.979848441893</v>
      </c>
      <c r="O20" s="716">
        <f t="shared" si="1"/>
        <v>0</v>
      </c>
      <c r="P20" s="716">
        <f t="shared" si="1"/>
        <v>0</v>
      </c>
      <c r="Q20" s="717">
        <f t="shared" si="1"/>
        <v>0</v>
      </c>
      <c r="R20" s="718">
        <f t="shared" si="1"/>
        <v>638118.90270467359</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914.18238932932888</v>
      </c>
      <c r="D22" s="712">
        <f>+landbouw!C8</f>
        <v>0</v>
      </c>
      <c r="E22" s="712">
        <f>+landbouw!D8</f>
        <v>7595.168727775017</v>
      </c>
      <c r="F22" s="712">
        <f>+landbouw!E8</f>
        <v>8.6122106297757597</v>
      </c>
      <c r="G22" s="712">
        <f>+landbouw!F8</f>
        <v>2983.2805268718762</v>
      </c>
      <c r="H22" s="712">
        <f>+landbouw!G8</f>
        <v>0</v>
      </c>
      <c r="I22" s="712">
        <f>+landbouw!H8</f>
        <v>0</v>
      </c>
      <c r="J22" s="712">
        <f>+landbouw!I8</f>
        <v>0</v>
      </c>
      <c r="K22" s="712">
        <f>+landbouw!J8</f>
        <v>113.08880814232555</v>
      </c>
      <c r="L22" s="712">
        <f>+landbouw!K8</f>
        <v>0</v>
      </c>
      <c r="M22" s="712">
        <f>+landbouw!L8</f>
        <v>0</v>
      </c>
      <c r="N22" s="712">
        <f>+landbouw!M8</f>
        <v>0</v>
      </c>
      <c r="O22" s="712">
        <f>+landbouw!N8</f>
        <v>0</v>
      </c>
      <c r="P22" s="712">
        <f>+landbouw!O8</f>
        <v>0</v>
      </c>
      <c r="Q22" s="713">
        <f>+landbouw!P8</f>
        <v>0</v>
      </c>
      <c r="R22" s="714">
        <f>SUM(C22:Q22)</f>
        <v>11614.332662748324</v>
      </c>
      <c r="S22" s="68"/>
    </row>
    <row r="23" spans="1:19" s="458" customFormat="1" ht="17.25" thickTop="1" thickBot="1">
      <c r="A23" s="719" t="s">
        <v>116</v>
      </c>
      <c r="B23" s="853"/>
      <c r="C23" s="720">
        <f ca="1">C20+C15+C22</f>
        <v>165110.09981578635</v>
      </c>
      <c r="D23" s="720">
        <f t="shared" ref="D23:Q23" ca="1" si="2">D20+D15+D22</f>
        <v>0</v>
      </c>
      <c r="E23" s="720">
        <f t="shared" ca="1" si="2"/>
        <v>331283.47610282723</v>
      </c>
      <c r="F23" s="720">
        <f t="shared" si="2"/>
        <v>9914.8687692907115</v>
      </c>
      <c r="G23" s="720">
        <f t="shared" ca="1" si="2"/>
        <v>69231.920943308593</v>
      </c>
      <c r="H23" s="720">
        <f t="shared" si="2"/>
        <v>510706.03141761571</v>
      </c>
      <c r="I23" s="720">
        <f t="shared" si="2"/>
        <v>97346.403191214296</v>
      </c>
      <c r="J23" s="720">
        <f t="shared" si="2"/>
        <v>0</v>
      </c>
      <c r="K23" s="720">
        <f t="shared" si="2"/>
        <v>254.16866859983688</v>
      </c>
      <c r="L23" s="720">
        <f t="shared" si="2"/>
        <v>0</v>
      </c>
      <c r="M23" s="720">
        <f t="shared" ca="1" si="2"/>
        <v>0</v>
      </c>
      <c r="N23" s="720">
        <f t="shared" si="2"/>
        <v>27189.979848441893</v>
      </c>
      <c r="O23" s="720">
        <f t="shared" ca="1" si="2"/>
        <v>16255.865230435475</v>
      </c>
      <c r="P23" s="720">
        <f t="shared" si="2"/>
        <v>201.67000000000004</v>
      </c>
      <c r="Q23" s="721">
        <f t="shared" si="2"/>
        <v>438.5333333333333</v>
      </c>
      <c r="R23" s="722">
        <f ca="1">R20+R15+R22</f>
        <v>1227933.0173208534</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12883.834895708766</v>
      </c>
      <c r="D36" s="703">
        <f ca="1">tertiair!C20</f>
        <v>0</v>
      </c>
      <c r="E36" s="703">
        <f ca="1">tertiair!D20</f>
        <v>13674.99389058938</v>
      </c>
      <c r="F36" s="703">
        <f>tertiair!E20</f>
        <v>144.94492081851976</v>
      </c>
      <c r="G36" s="703">
        <f ca="1">tertiair!F20</f>
        <v>3061.9347894521925</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29765.708496568859</v>
      </c>
    </row>
    <row r="37" spans="1:18">
      <c r="A37" s="874" t="s">
        <v>225</v>
      </c>
      <c r="B37" s="881"/>
      <c r="C37" s="703">
        <f ca="1">huishoudens!B12</f>
        <v>15476.180240731253</v>
      </c>
      <c r="D37" s="703">
        <f ca="1">huishoudens!C12</f>
        <v>0</v>
      </c>
      <c r="E37" s="703">
        <f>huishoudens!D12</f>
        <v>40131.3436269214</v>
      </c>
      <c r="F37" s="703">
        <f>huishoudens!E12</f>
        <v>1399.679272513582</v>
      </c>
      <c r="G37" s="703">
        <f>huishoudens!F12</f>
        <v>12473.80856759185</v>
      </c>
      <c r="H37" s="703">
        <f>huishoudens!G12</f>
        <v>0</v>
      </c>
      <c r="I37" s="703">
        <f>huishoudens!H12</f>
        <v>0</v>
      </c>
      <c r="J37" s="703">
        <f>huishoudens!I12</f>
        <v>0</v>
      </c>
      <c r="K37" s="703">
        <f>huishoudens!J12</f>
        <v>0</v>
      </c>
      <c r="L37" s="703">
        <f>huishoudens!K12</f>
        <v>0</v>
      </c>
      <c r="M37" s="703">
        <f>huishoudens!L12</f>
        <v>0</v>
      </c>
      <c r="N37" s="703">
        <f>huishoudens!M12</f>
        <v>0</v>
      </c>
      <c r="O37" s="703">
        <f>huishoudens!N12</f>
        <v>0</v>
      </c>
      <c r="P37" s="703">
        <f>huishoudens!O12</f>
        <v>0</v>
      </c>
      <c r="Q37" s="813">
        <f>huishoudens!P12</f>
        <v>0</v>
      </c>
      <c r="R37" s="906">
        <f ca="1">SUM(C37:Q37)</f>
        <v>69481.01170775808</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6940.2405677164079</v>
      </c>
      <c r="D39" s="703">
        <f ca="1">industrie!C22</f>
        <v>0</v>
      </c>
      <c r="E39" s="703">
        <f>industrie!D22</f>
        <v>11570.123718377639</v>
      </c>
      <c r="F39" s="703">
        <f>industrie!E22</f>
        <v>64.160294750029351</v>
      </c>
      <c r="G39" s="703">
        <f>industrie!F22</f>
        <v>2152.6436341445624</v>
      </c>
      <c r="H39" s="703">
        <f>industrie!G22</f>
        <v>0</v>
      </c>
      <c r="I39" s="703">
        <f>industrie!H22</f>
        <v>0</v>
      </c>
      <c r="J39" s="703">
        <f>industrie!I22</f>
        <v>0</v>
      </c>
      <c r="K39" s="703">
        <f>industrie!J22</f>
        <v>49.942270601959009</v>
      </c>
      <c r="L39" s="703">
        <f>industrie!K22</f>
        <v>0</v>
      </c>
      <c r="M39" s="703">
        <f>industrie!L22</f>
        <v>0</v>
      </c>
      <c r="N39" s="703">
        <f>industrie!M22</f>
        <v>0</v>
      </c>
      <c r="O39" s="703">
        <f>industrie!N22</f>
        <v>0</v>
      </c>
      <c r="P39" s="703">
        <f>industrie!O22</f>
        <v>0</v>
      </c>
      <c r="Q39" s="813">
        <f>industrie!P22</f>
        <v>0</v>
      </c>
      <c r="R39" s="907">
        <f ca="1">SUM(C39:Q39)</f>
        <v>20777.110485590594</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35300.255704156429</v>
      </c>
      <c r="D41" s="748">
        <f t="shared" ref="D41:R41" ca="1" si="4">SUM(D35:D40)</f>
        <v>0</v>
      </c>
      <c r="E41" s="748">
        <f t="shared" ca="1" si="4"/>
        <v>65376.461235888419</v>
      </c>
      <c r="F41" s="748">
        <f t="shared" si="4"/>
        <v>1608.784488082131</v>
      </c>
      <c r="G41" s="748">
        <f t="shared" ca="1" si="4"/>
        <v>17688.386991188607</v>
      </c>
      <c r="H41" s="748">
        <f t="shared" si="4"/>
        <v>0</v>
      </c>
      <c r="I41" s="748">
        <f t="shared" si="4"/>
        <v>0</v>
      </c>
      <c r="J41" s="748">
        <f t="shared" si="4"/>
        <v>0</v>
      </c>
      <c r="K41" s="748">
        <f t="shared" si="4"/>
        <v>49.942270601959009</v>
      </c>
      <c r="L41" s="748">
        <f t="shared" si="4"/>
        <v>0</v>
      </c>
      <c r="M41" s="748">
        <f t="shared" ca="1" si="4"/>
        <v>0</v>
      </c>
      <c r="N41" s="748">
        <f t="shared" si="4"/>
        <v>0</v>
      </c>
      <c r="O41" s="748">
        <f t="shared" ca="1" si="4"/>
        <v>0</v>
      </c>
      <c r="P41" s="748">
        <f t="shared" si="4"/>
        <v>0</v>
      </c>
      <c r="Q41" s="749">
        <f t="shared" si="4"/>
        <v>0</v>
      </c>
      <c r="R41" s="750">
        <f t="shared" ca="1" si="4"/>
        <v>120023.83068991752</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2081.3168141626602</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2081.3168141626602</v>
      </c>
    </row>
    <row r="45" spans="1:18" ht="15" thickBot="1">
      <c r="A45" s="877" t="s">
        <v>307</v>
      </c>
      <c r="B45" s="887"/>
      <c r="C45" s="712">
        <f ca="1">transport!B18</f>
        <v>3.2097176417345774</v>
      </c>
      <c r="D45" s="712">
        <f>transport!C18</f>
        <v>0</v>
      </c>
      <c r="E45" s="712">
        <f>transport!D18</f>
        <v>8.576853872127467</v>
      </c>
      <c r="F45" s="712">
        <f>transport!E18</f>
        <v>639.9357507339015</v>
      </c>
      <c r="G45" s="712">
        <f>transport!F18</f>
        <v>0</v>
      </c>
      <c r="H45" s="712">
        <f>transport!G18</f>
        <v>134277.19357434075</v>
      </c>
      <c r="I45" s="712">
        <f>transport!H18</f>
        <v>24239.254394612359</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159168.17029120089</v>
      </c>
    </row>
    <row r="46" spans="1:18" ht="15.75" thickBot="1">
      <c r="A46" s="875" t="s">
        <v>230</v>
      </c>
      <c r="B46" s="888"/>
      <c r="C46" s="748">
        <f t="shared" ref="C46:R46" ca="1" si="5">SUM(C43:C45)</f>
        <v>3.2097176417345774</v>
      </c>
      <c r="D46" s="748">
        <f t="shared" ca="1" si="5"/>
        <v>0</v>
      </c>
      <c r="E46" s="748">
        <f t="shared" si="5"/>
        <v>8.576853872127467</v>
      </c>
      <c r="F46" s="748">
        <f t="shared" si="5"/>
        <v>639.9357507339015</v>
      </c>
      <c r="G46" s="748">
        <f t="shared" si="5"/>
        <v>0</v>
      </c>
      <c r="H46" s="748">
        <f t="shared" si="5"/>
        <v>136358.5103885034</v>
      </c>
      <c r="I46" s="748">
        <f t="shared" si="5"/>
        <v>24239.254394612359</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161249.48710536354</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196.55669201008089</v>
      </c>
      <c r="D48" s="703">
        <f ca="1">+landbouw!C12</f>
        <v>0</v>
      </c>
      <c r="E48" s="703">
        <f>+landbouw!D12</f>
        <v>1534.2240830105536</v>
      </c>
      <c r="F48" s="703">
        <f>+landbouw!E12</f>
        <v>1.9549718129590976</v>
      </c>
      <c r="G48" s="703">
        <f>+landbouw!F12</f>
        <v>796.53590067479104</v>
      </c>
      <c r="H48" s="703">
        <f>+landbouw!G12</f>
        <v>0</v>
      </c>
      <c r="I48" s="703">
        <f>+landbouw!H12</f>
        <v>0</v>
      </c>
      <c r="J48" s="703">
        <f>+landbouw!I12</f>
        <v>0</v>
      </c>
      <c r="K48" s="703">
        <f>+landbouw!J12</f>
        <v>40.033438082383242</v>
      </c>
      <c r="L48" s="703">
        <f>+landbouw!K12</f>
        <v>0</v>
      </c>
      <c r="M48" s="703">
        <f>+landbouw!L12</f>
        <v>0</v>
      </c>
      <c r="N48" s="703">
        <f>+landbouw!M12</f>
        <v>0</v>
      </c>
      <c r="O48" s="703">
        <f>+landbouw!N12</f>
        <v>0</v>
      </c>
      <c r="P48" s="703">
        <f>+landbouw!O12</f>
        <v>0</v>
      </c>
      <c r="Q48" s="704">
        <f>+landbouw!P12</f>
        <v>0</v>
      </c>
      <c r="R48" s="746">
        <f ca="1">SUM(C48:Q48)</f>
        <v>2569.3050855907677</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35500.022113808249</v>
      </c>
      <c r="D53" s="758">
        <f t="shared" ref="D53:Q53" ca="1" si="6">D41+D46+D48</f>
        <v>0</v>
      </c>
      <c r="E53" s="758">
        <f t="shared" ca="1" si="6"/>
        <v>66919.262172771094</v>
      </c>
      <c r="F53" s="758">
        <f t="shared" si="6"/>
        <v>2250.6752106289919</v>
      </c>
      <c r="G53" s="758">
        <f t="shared" ca="1" si="6"/>
        <v>18484.922891863396</v>
      </c>
      <c r="H53" s="758">
        <f t="shared" si="6"/>
        <v>136358.5103885034</v>
      </c>
      <c r="I53" s="758">
        <f t="shared" si="6"/>
        <v>24239.254394612359</v>
      </c>
      <c r="J53" s="758">
        <f t="shared" si="6"/>
        <v>0</v>
      </c>
      <c r="K53" s="758">
        <f t="shared" si="6"/>
        <v>89.975708684342251</v>
      </c>
      <c r="L53" s="758">
        <f t="shared" si="6"/>
        <v>0</v>
      </c>
      <c r="M53" s="758">
        <f t="shared" ca="1" si="6"/>
        <v>0</v>
      </c>
      <c r="N53" s="758">
        <f t="shared" si="6"/>
        <v>0</v>
      </c>
      <c r="O53" s="758">
        <f t="shared" ca="1" si="6"/>
        <v>0</v>
      </c>
      <c r="P53" s="758">
        <f>P41+P46+P48</f>
        <v>0</v>
      </c>
      <c r="Q53" s="759">
        <f t="shared" si="6"/>
        <v>0</v>
      </c>
      <c r="R53" s="760">
        <f ca="1">R41+R46+R48</f>
        <v>283842.62288087182</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0.21500818031977262</v>
      </c>
      <c r="D55" s="824">
        <f t="shared" ca="1" si="7"/>
        <v>0</v>
      </c>
      <c r="E55" s="824">
        <f t="shared" ca="1" si="7"/>
        <v>0.20199999999999999</v>
      </c>
      <c r="F55" s="824">
        <f t="shared" si="7"/>
        <v>0.22700000000000004</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4476.5155904096855</v>
      </c>
      <c r="C66" s="780">
        <f>'lokale energieproductie'!B6</f>
        <v>4476.5155904096855</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4476.5155904096855</v>
      </c>
      <c r="C69" s="788">
        <f>SUM(C64:C68)</f>
        <v>4476.5155904096855</v>
      </c>
      <c r="D69" s="789">
        <f t="shared" ref="D69:M69" si="8">SUM(D67:D68)</f>
        <v>0</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71979.495002070078</v>
      </c>
      <c r="C4" s="462">
        <f>huishoudens!C8</f>
        <v>0</v>
      </c>
      <c r="D4" s="462">
        <f>huishoudens!D8</f>
        <v>198670.01795505642</v>
      </c>
      <c r="E4" s="462">
        <f>huishoudens!E8</f>
        <v>6165.9879846413305</v>
      </c>
      <c r="F4" s="462">
        <f>huishoudens!F8</f>
        <v>46718.38414828408</v>
      </c>
      <c r="G4" s="462">
        <f>huishoudens!G8</f>
        <v>0</v>
      </c>
      <c r="H4" s="462">
        <f>huishoudens!H8</f>
        <v>0</v>
      </c>
      <c r="I4" s="462">
        <f>huishoudens!I8</f>
        <v>0</v>
      </c>
      <c r="J4" s="462">
        <f>huishoudens!J8</f>
        <v>0</v>
      </c>
      <c r="K4" s="462">
        <f>huishoudens!K8</f>
        <v>0</v>
      </c>
      <c r="L4" s="462">
        <f>huishoudens!L8</f>
        <v>0</v>
      </c>
      <c r="M4" s="462">
        <f>huishoudens!M8</f>
        <v>0</v>
      </c>
      <c r="N4" s="462">
        <f>huishoudens!N8</f>
        <v>12310.025181326026</v>
      </c>
      <c r="O4" s="462">
        <f>huishoudens!O8</f>
        <v>201.67000000000004</v>
      </c>
      <c r="P4" s="463">
        <f>huishoudens!P8</f>
        <v>438.5333333333333</v>
      </c>
      <c r="Q4" s="464">
        <f>SUM(B4:P4)</f>
        <v>336484.11360471125</v>
      </c>
    </row>
    <row r="5" spans="1:17">
      <c r="A5" s="461" t="s">
        <v>156</v>
      </c>
      <c r="B5" s="462">
        <f ca="1">tertiair!B16</f>
        <v>57899.937535920268</v>
      </c>
      <c r="C5" s="462">
        <f ca="1">tertiair!C16</f>
        <v>0</v>
      </c>
      <c r="D5" s="462">
        <f ca="1">tertiair!D16</f>
        <v>67697.989557373163</v>
      </c>
      <c r="E5" s="462">
        <f>tertiair!E16</f>
        <v>638.52388025779624</v>
      </c>
      <c r="F5" s="462">
        <f ca="1">tertiair!F16</f>
        <v>11467.920559746039</v>
      </c>
      <c r="G5" s="462">
        <f>tertiair!G16</f>
        <v>0</v>
      </c>
      <c r="H5" s="462">
        <f>tertiair!H16</f>
        <v>0</v>
      </c>
      <c r="I5" s="462">
        <f>tertiair!I16</f>
        <v>0</v>
      </c>
      <c r="J5" s="462">
        <f>tertiair!J16</f>
        <v>0</v>
      </c>
      <c r="K5" s="462">
        <f>tertiair!K16</f>
        <v>0</v>
      </c>
      <c r="L5" s="462">
        <f ca="1">tertiair!L16</f>
        <v>0</v>
      </c>
      <c r="M5" s="462">
        <f>tertiair!M16</f>
        <v>0</v>
      </c>
      <c r="N5" s="462">
        <f ca="1">tertiair!N16</f>
        <v>2826.2246185126141</v>
      </c>
      <c r="O5" s="462">
        <f>tertiair!O16</f>
        <v>0</v>
      </c>
      <c r="P5" s="463">
        <f>tertiair!P16</f>
        <v>0</v>
      </c>
      <c r="Q5" s="461">
        <f t="shared" ref="Q5:Q13" ca="1" si="0">SUM(B5:P5)</f>
        <v>140530.59615180988</v>
      </c>
    </row>
    <row r="6" spans="1:17">
      <c r="A6" s="461" t="s">
        <v>194</v>
      </c>
      <c r="B6" s="462">
        <f>'openbare verlichting'!B8</f>
        <v>2022.596</v>
      </c>
      <c r="C6" s="462"/>
      <c r="D6" s="462"/>
      <c r="E6" s="462"/>
      <c r="F6" s="462"/>
      <c r="G6" s="462"/>
      <c r="H6" s="462"/>
      <c r="I6" s="462"/>
      <c r="J6" s="462"/>
      <c r="K6" s="462"/>
      <c r="L6" s="462"/>
      <c r="M6" s="462"/>
      <c r="N6" s="462"/>
      <c r="O6" s="462"/>
      <c r="P6" s="463"/>
      <c r="Q6" s="461">
        <f t="shared" si="0"/>
        <v>2022.596</v>
      </c>
    </row>
    <row r="7" spans="1:17">
      <c r="A7" s="461" t="s">
        <v>112</v>
      </c>
      <c r="B7" s="462">
        <f>landbouw!B8</f>
        <v>914.18238932932888</v>
      </c>
      <c r="C7" s="462">
        <f>landbouw!C8</f>
        <v>0</v>
      </c>
      <c r="D7" s="462">
        <f>landbouw!D8</f>
        <v>7595.168727775017</v>
      </c>
      <c r="E7" s="462">
        <f>landbouw!E8</f>
        <v>8.6122106297757597</v>
      </c>
      <c r="F7" s="462">
        <f>landbouw!F8</f>
        <v>2983.2805268718762</v>
      </c>
      <c r="G7" s="462">
        <f>landbouw!G8</f>
        <v>0</v>
      </c>
      <c r="H7" s="462">
        <f>landbouw!H8</f>
        <v>0</v>
      </c>
      <c r="I7" s="462">
        <f>landbouw!I8</f>
        <v>0</v>
      </c>
      <c r="J7" s="462">
        <f>landbouw!J8</f>
        <v>113.08880814232555</v>
      </c>
      <c r="K7" s="462">
        <f>landbouw!K8</f>
        <v>0</v>
      </c>
      <c r="L7" s="462">
        <f>landbouw!L8</f>
        <v>0</v>
      </c>
      <c r="M7" s="462">
        <f>landbouw!M8</f>
        <v>0</v>
      </c>
      <c r="N7" s="462">
        <f>landbouw!N8</f>
        <v>0</v>
      </c>
      <c r="O7" s="462">
        <f>landbouw!O8</f>
        <v>0</v>
      </c>
      <c r="P7" s="463">
        <f>landbouw!P8</f>
        <v>0</v>
      </c>
      <c r="Q7" s="461">
        <f t="shared" si="0"/>
        <v>11614.332662748324</v>
      </c>
    </row>
    <row r="8" spans="1:17">
      <c r="A8" s="461" t="s">
        <v>685</v>
      </c>
      <c r="B8" s="462">
        <f>industrie!B18</f>
        <v>32278.960537196683</v>
      </c>
      <c r="C8" s="462">
        <f>industrie!C18</f>
        <v>0</v>
      </c>
      <c r="D8" s="462">
        <f>industrie!D18</f>
        <v>57277.84018998831</v>
      </c>
      <c r="E8" s="462">
        <f>industrie!E18</f>
        <v>282.64447026444645</v>
      </c>
      <c r="F8" s="462">
        <f>industrie!F18</f>
        <v>8062.335708406601</v>
      </c>
      <c r="G8" s="462">
        <f>industrie!G18</f>
        <v>0</v>
      </c>
      <c r="H8" s="462">
        <f>industrie!H18</f>
        <v>0</v>
      </c>
      <c r="I8" s="462">
        <f>industrie!I18</f>
        <v>0</v>
      </c>
      <c r="J8" s="462">
        <f>industrie!J18</f>
        <v>141.07986045751133</v>
      </c>
      <c r="K8" s="462">
        <f>industrie!K18</f>
        <v>0</v>
      </c>
      <c r="L8" s="462">
        <f>industrie!L18</f>
        <v>0</v>
      </c>
      <c r="M8" s="462">
        <f>industrie!M18</f>
        <v>0</v>
      </c>
      <c r="N8" s="462">
        <f>industrie!N18</f>
        <v>1119.6154305968353</v>
      </c>
      <c r="O8" s="462">
        <f>industrie!O18</f>
        <v>0</v>
      </c>
      <c r="P8" s="463">
        <f>industrie!P18</f>
        <v>0</v>
      </c>
      <c r="Q8" s="461">
        <f t="shared" si="0"/>
        <v>99162.4761969104</v>
      </c>
    </row>
    <row r="9" spans="1:17" s="467" customFormat="1">
      <c r="A9" s="465" t="s">
        <v>579</v>
      </c>
      <c r="B9" s="466">
        <f>transport!B14</f>
        <v>14.928351269988426</v>
      </c>
      <c r="C9" s="466">
        <f>transport!C14</f>
        <v>0</v>
      </c>
      <c r="D9" s="466">
        <f>transport!D14</f>
        <v>42.459672634294385</v>
      </c>
      <c r="E9" s="466">
        <f>transport!E14</f>
        <v>2819.1002234973635</v>
      </c>
      <c r="F9" s="466">
        <f>transport!F14</f>
        <v>0</v>
      </c>
      <c r="G9" s="466">
        <f>transport!G14</f>
        <v>502910.83735708141</v>
      </c>
      <c r="H9" s="466">
        <f>transport!H14</f>
        <v>97346.403191214296</v>
      </c>
      <c r="I9" s="466">
        <f>transport!I14</f>
        <v>0</v>
      </c>
      <c r="J9" s="466">
        <f>transport!J14</f>
        <v>0</v>
      </c>
      <c r="K9" s="466">
        <f>transport!K14</f>
        <v>0</v>
      </c>
      <c r="L9" s="466">
        <f>transport!L14</f>
        <v>0</v>
      </c>
      <c r="M9" s="466">
        <f>transport!M14</f>
        <v>26847.680018266885</v>
      </c>
      <c r="N9" s="466">
        <f>transport!N14</f>
        <v>0</v>
      </c>
      <c r="O9" s="466">
        <f>transport!O14</f>
        <v>0</v>
      </c>
      <c r="P9" s="466">
        <f>transport!P14</f>
        <v>0</v>
      </c>
      <c r="Q9" s="465">
        <f>SUM(B9:P9)</f>
        <v>629981.40881396423</v>
      </c>
    </row>
    <row r="10" spans="1:17">
      <c r="A10" s="461" t="s">
        <v>569</v>
      </c>
      <c r="B10" s="462">
        <f>transport!B54</f>
        <v>0</v>
      </c>
      <c r="C10" s="462">
        <f>transport!C54</f>
        <v>0</v>
      </c>
      <c r="D10" s="462">
        <f>transport!D54</f>
        <v>0</v>
      </c>
      <c r="E10" s="462">
        <f>transport!E54</f>
        <v>0</v>
      </c>
      <c r="F10" s="462">
        <f>transport!F54</f>
        <v>0</v>
      </c>
      <c r="G10" s="462">
        <f>transport!G54</f>
        <v>7795.1940605343079</v>
      </c>
      <c r="H10" s="462">
        <f>transport!H54</f>
        <v>0</v>
      </c>
      <c r="I10" s="462">
        <f>transport!I54</f>
        <v>0</v>
      </c>
      <c r="J10" s="462">
        <f>transport!J54</f>
        <v>0</v>
      </c>
      <c r="K10" s="462">
        <f>transport!K54</f>
        <v>0</v>
      </c>
      <c r="L10" s="462">
        <f>transport!L54</f>
        <v>0</v>
      </c>
      <c r="M10" s="462">
        <f>transport!M54</f>
        <v>342.29983017500729</v>
      </c>
      <c r="N10" s="462">
        <f>transport!N54</f>
        <v>0</v>
      </c>
      <c r="O10" s="462">
        <f>transport!O54</f>
        <v>0</v>
      </c>
      <c r="P10" s="463">
        <f>transport!P54</f>
        <v>0</v>
      </c>
      <c r="Q10" s="461">
        <f t="shared" si="0"/>
        <v>8137.4938907093156</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165110.09981578635</v>
      </c>
      <c r="C14" s="472">
        <f t="shared" ref="C14:Q14" ca="1" si="1">SUM(C4:C13)</f>
        <v>0</v>
      </c>
      <c r="D14" s="472">
        <f t="shared" ca="1" si="1"/>
        <v>331283.47610282723</v>
      </c>
      <c r="E14" s="472">
        <f t="shared" si="1"/>
        <v>9914.8687692907133</v>
      </c>
      <c r="F14" s="472">
        <f t="shared" ca="1" si="1"/>
        <v>69231.920943308593</v>
      </c>
      <c r="G14" s="472">
        <f t="shared" si="1"/>
        <v>510706.03141761571</v>
      </c>
      <c r="H14" s="472">
        <f t="shared" si="1"/>
        <v>97346.403191214296</v>
      </c>
      <c r="I14" s="472">
        <f t="shared" si="1"/>
        <v>0</v>
      </c>
      <c r="J14" s="472">
        <f t="shared" si="1"/>
        <v>254.16866859983688</v>
      </c>
      <c r="K14" s="472">
        <f t="shared" si="1"/>
        <v>0</v>
      </c>
      <c r="L14" s="472">
        <f t="shared" ca="1" si="1"/>
        <v>0</v>
      </c>
      <c r="M14" s="472">
        <f t="shared" si="1"/>
        <v>27189.979848441893</v>
      </c>
      <c r="N14" s="472">
        <f t="shared" ca="1" si="1"/>
        <v>16255.865230435475</v>
      </c>
      <c r="O14" s="472">
        <f t="shared" si="1"/>
        <v>201.67000000000004</v>
      </c>
      <c r="P14" s="473">
        <f t="shared" si="1"/>
        <v>438.5333333333333</v>
      </c>
      <c r="Q14" s="473">
        <f t="shared" ca="1" si="1"/>
        <v>1227933.0173208534</v>
      </c>
    </row>
    <row r="16" spans="1:17">
      <c r="A16" s="475" t="s">
        <v>574</v>
      </c>
      <c r="B16" s="829">
        <f ca="1">huishoudens!B10</f>
        <v>0.21500818031977259</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15476.180240731253</v>
      </c>
      <c r="C21" s="462">
        <f t="shared" ref="C21:C30" ca="1" si="3">C4*$C$16</f>
        <v>0</v>
      </c>
      <c r="D21" s="462">
        <f t="shared" ref="D21:D30" si="4">D4*$D$16</f>
        <v>40131.3436269214</v>
      </c>
      <c r="E21" s="462">
        <f t="shared" ref="E21:E30" si="5">E4*$E$16</f>
        <v>1399.679272513582</v>
      </c>
      <c r="F21" s="462">
        <f t="shared" ref="F21:F30" si="6">F4*$F$16</f>
        <v>12473.80856759185</v>
      </c>
      <c r="G21" s="462">
        <f t="shared" ref="G21:G30" si="7">G4*$G$16</f>
        <v>0</v>
      </c>
      <c r="H21" s="462">
        <f t="shared" ref="H21:H30" si="8">H4*$H$16</f>
        <v>0</v>
      </c>
      <c r="I21" s="462">
        <f t="shared" ref="I21:I30" si="9">I4*$I$16</f>
        <v>0</v>
      </c>
      <c r="J21" s="462">
        <f t="shared" ref="J21:J30" si="10">J4*$J$16</f>
        <v>0</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69481.01170775808</v>
      </c>
    </row>
    <row r="22" spans="1:17">
      <c r="A22" s="461" t="s">
        <v>156</v>
      </c>
      <c r="B22" s="462">
        <f t="shared" ca="1" si="2"/>
        <v>12448.960210226714</v>
      </c>
      <c r="C22" s="462">
        <f t="shared" ca="1" si="3"/>
        <v>0</v>
      </c>
      <c r="D22" s="462">
        <f t="shared" ca="1" si="4"/>
        <v>13674.99389058938</v>
      </c>
      <c r="E22" s="462">
        <f t="shared" si="5"/>
        <v>144.94492081851976</v>
      </c>
      <c r="F22" s="462">
        <f t="shared" ca="1" si="6"/>
        <v>3061.9347894521925</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29330.83381108681</v>
      </c>
    </row>
    <row r="23" spans="1:17">
      <c r="A23" s="461" t="s">
        <v>194</v>
      </c>
      <c r="B23" s="462">
        <f t="shared" ca="1" si="2"/>
        <v>434.87468548205078</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434.87468548205078</v>
      </c>
    </row>
    <row r="24" spans="1:17">
      <c r="A24" s="461" t="s">
        <v>112</v>
      </c>
      <c r="B24" s="462">
        <f t="shared" ca="1" si="2"/>
        <v>196.55669201008089</v>
      </c>
      <c r="C24" s="462">
        <f t="shared" ca="1" si="3"/>
        <v>0</v>
      </c>
      <c r="D24" s="462">
        <f t="shared" si="4"/>
        <v>1534.2240830105536</v>
      </c>
      <c r="E24" s="462">
        <f t="shared" si="5"/>
        <v>1.9549718129590976</v>
      </c>
      <c r="F24" s="462">
        <f t="shared" si="6"/>
        <v>796.53590067479104</v>
      </c>
      <c r="G24" s="462">
        <f t="shared" si="7"/>
        <v>0</v>
      </c>
      <c r="H24" s="462">
        <f t="shared" si="8"/>
        <v>0</v>
      </c>
      <c r="I24" s="462">
        <f t="shared" si="9"/>
        <v>0</v>
      </c>
      <c r="J24" s="462">
        <f t="shared" si="10"/>
        <v>40.033438082383242</v>
      </c>
      <c r="K24" s="462">
        <f t="shared" si="11"/>
        <v>0</v>
      </c>
      <c r="L24" s="462">
        <f t="shared" si="12"/>
        <v>0</v>
      </c>
      <c r="M24" s="462">
        <f t="shared" si="13"/>
        <v>0</v>
      </c>
      <c r="N24" s="462">
        <f t="shared" si="14"/>
        <v>0</v>
      </c>
      <c r="O24" s="462">
        <f t="shared" si="15"/>
        <v>0</v>
      </c>
      <c r="P24" s="463">
        <f t="shared" si="16"/>
        <v>0</v>
      </c>
      <c r="Q24" s="461">
        <f t="shared" ca="1" si="17"/>
        <v>2569.3050855907677</v>
      </c>
    </row>
    <row r="25" spans="1:17">
      <c r="A25" s="461" t="s">
        <v>685</v>
      </c>
      <c r="B25" s="462">
        <f t="shared" ca="1" si="2"/>
        <v>6940.2405677164079</v>
      </c>
      <c r="C25" s="462">
        <f t="shared" ca="1" si="3"/>
        <v>0</v>
      </c>
      <c r="D25" s="462">
        <f t="shared" si="4"/>
        <v>11570.123718377639</v>
      </c>
      <c r="E25" s="462">
        <f t="shared" si="5"/>
        <v>64.160294750029351</v>
      </c>
      <c r="F25" s="462">
        <f t="shared" si="6"/>
        <v>2152.6436341445624</v>
      </c>
      <c r="G25" s="462">
        <f t="shared" si="7"/>
        <v>0</v>
      </c>
      <c r="H25" s="462">
        <f t="shared" si="8"/>
        <v>0</v>
      </c>
      <c r="I25" s="462">
        <f t="shared" si="9"/>
        <v>0</v>
      </c>
      <c r="J25" s="462">
        <f t="shared" si="10"/>
        <v>49.942270601959009</v>
      </c>
      <c r="K25" s="462">
        <f t="shared" si="11"/>
        <v>0</v>
      </c>
      <c r="L25" s="462">
        <f t="shared" si="12"/>
        <v>0</v>
      </c>
      <c r="M25" s="462">
        <f t="shared" si="13"/>
        <v>0</v>
      </c>
      <c r="N25" s="462">
        <f t="shared" si="14"/>
        <v>0</v>
      </c>
      <c r="O25" s="462">
        <f t="shared" si="15"/>
        <v>0</v>
      </c>
      <c r="P25" s="463">
        <f t="shared" si="16"/>
        <v>0</v>
      </c>
      <c r="Q25" s="461">
        <f t="shared" ca="1" si="17"/>
        <v>20777.110485590594</v>
      </c>
    </row>
    <row r="26" spans="1:17" s="467" customFormat="1">
      <c r="A26" s="465" t="s">
        <v>579</v>
      </c>
      <c r="B26" s="823">
        <f t="shared" ca="1" si="2"/>
        <v>3.2097176417345774</v>
      </c>
      <c r="C26" s="466">
        <f t="shared" ca="1" si="3"/>
        <v>0</v>
      </c>
      <c r="D26" s="466">
        <f t="shared" si="4"/>
        <v>8.576853872127467</v>
      </c>
      <c r="E26" s="466">
        <f t="shared" si="5"/>
        <v>639.9357507339015</v>
      </c>
      <c r="F26" s="466">
        <f t="shared" si="6"/>
        <v>0</v>
      </c>
      <c r="G26" s="466">
        <f t="shared" si="7"/>
        <v>134277.19357434075</v>
      </c>
      <c r="H26" s="466">
        <f t="shared" si="8"/>
        <v>24239.254394612359</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159168.17029120089</v>
      </c>
    </row>
    <row r="27" spans="1:17">
      <c r="A27" s="461" t="s">
        <v>569</v>
      </c>
      <c r="B27" s="462">
        <f t="shared" ca="1" si="2"/>
        <v>0</v>
      </c>
      <c r="C27" s="462">
        <f t="shared" ca="1" si="3"/>
        <v>0</v>
      </c>
      <c r="D27" s="462">
        <f t="shared" si="4"/>
        <v>0</v>
      </c>
      <c r="E27" s="462">
        <f t="shared" si="5"/>
        <v>0</v>
      </c>
      <c r="F27" s="462">
        <f t="shared" si="6"/>
        <v>0</v>
      </c>
      <c r="G27" s="462">
        <f t="shared" si="7"/>
        <v>2081.3168141626602</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2081.3168141626602</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35500.022113808242</v>
      </c>
      <c r="C31" s="472">
        <f t="shared" ca="1" si="18"/>
        <v>0</v>
      </c>
      <c r="D31" s="472">
        <f t="shared" ca="1" si="18"/>
        <v>66919.262172771094</v>
      </c>
      <c r="E31" s="472">
        <f t="shared" si="18"/>
        <v>2250.6752106289914</v>
      </c>
      <c r="F31" s="472">
        <f t="shared" ca="1" si="18"/>
        <v>18484.922891863396</v>
      </c>
      <c r="G31" s="472">
        <f t="shared" si="18"/>
        <v>136358.5103885034</v>
      </c>
      <c r="H31" s="472">
        <f t="shared" si="18"/>
        <v>24239.254394612359</v>
      </c>
      <c r="I31" s="472">
        <f t="shared" si="18"/>
        <v>0</v>
      </c>
      <c r="J31" s="472">
        <f t="shared" si="18"/>
        <v>89.975708684342251</v>
      </c>
      <c r="K31" s="472">
        <f t="shared" si="18"/>
        <v>0</v>
      </c>
      <c r="L31" s="472">
        <f t="shared" ca="1" si="18"/>
        <v>0</v>
      </c>
      <c r="M31" s="472">
        <f t="shared" si="18"/>
        <v>0</v>
      </c>
      <c r="N31" s="472">
        <f t="shared" ca="1" si="18"/>
        <v>0</v>
      </c>
      <c r="O31" s="472">
        <f t="shared" si="18"/>
        <v>0</v>
      </c>
      <c r="P31" s="473">
        <f t="shared" si="18"/>
        <v>0</v>
      </c>
      <c r="Q31" s="473">
        <f t="shared" ca="1" si="18"/>
        <v>283842.62288087187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0.21500818031977259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0.21500818031977259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0.21500818031977259</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23016</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16468</v>
      </c>
      <c r="C9" s="338">
        <v>17167</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1241</v>
      </c>
    </row>
    <row r="15" spans="1:6">
      <c r="A15" s="1205" t="s">
        <v>184</v>
      </c>
      <c r="B15" s="335">
        <v>0</v>
      </c>
    </row>
    <row r="16" spans="1:6">
      <c r="A16" s="1205" t="s">
        <v>6</v>
      </c>
      <c r="B16" s="335">
        <v>24</v>
      </c>
    </row>
    <row r="17" spans="1:6">
      <c r="A17" s="1205" t="s">
        <v>7</v>
      </c>
      <c r="B17" s="335">
        <v>319</v>
      </c>
    </row>
    <row r="18" spans="1:6">
      <c r="A18" s="1205" t="s">
        <v>8</v>
      </c>
      <c r="B18" s="335">
        <v>338</v>
      </c>
    </row>
    <row r="19" spans="1:6">
      <c r="A19" s="1205" t="s">
        <v>9</v>
      </c>
      <c r="B19" s="335">
        <v>348</v>
      </c>
    </row>
    <row r="20" spans="1:6">
      <c r="A20" s="1205" t="s">
        <v>10</v>
      </c>
      <c r="B20" s="335">
        <v>269</v>
      </c>
    </row>
    <row r="21" spans="1:6">
      <c r="A21" s="1205" t="s">
        <v>11</v>
      </c>
      <c r="B21" s="335">
        <v>0</v>
      </c>
    </row>
    <row r="22" spans="1:6">
      <c r="A22" s="1205" t="s">
        <v>12</v>
      </c>
      <c r="B22" s="335">
        <v>22</v>
      </c>
    </row>
    <row r="23" spans="1:6">
      <c r="A23" s="1205" t="s">
        <v>13</v>
      </c>
      <c r="B23" s="335">
        <v>0</v>
      </c>
    </row>
    <row r="24" spans="1:6">
      <c r="A24" s="1205" t="s">
        <v>14</v>
      </c>
      <c r="B24" s="335">
        <v>1</v>
      </c>
    </row>
    <row r="25" spans="1:6">
      <c r="A25" s="1205" t="s">
        <v>15</v>
      </c>
      <c r="B25" s="335">
        <v>9</v>
      </c>
    </row>
    <row r="26" spans="1:6">
      <c r="A26" s="1205" t="s">
        <v>16</v>
      </c>
      <c r="B26" s="335">
        <v>47</v>
      </c>
    </row>
    <row r="27" spans="1:6">
      <c r="A27" s="1205" t="s">
        <v>17</v>
      </c>
      <c r="B27" s="335">
        <v>7</v>
      </c>
    </row>
    <row r="28" spans="1:6" s="341" customFormat="1">
      <c r="A28" s="1206" t="s">
        <v>18</v>
      </c>
      <c r="B28" s="1206">
        <v>288</v>
      </c>
    </row>
    <row r="29" spans="1:6">
      <c r="A29" s="1206" t="s">
        <v>873</v>
      </c>
      <c r="B29" s="1206">
        <v>226</v>
      </c>
      <c r="C29" s="341"/>
      <c r="D29" s="341"/>
      <c r="E29" s="341"/>
      <c r="F29" s="341"/>
    </row>
    <row r="30" spans="1:6">
      <c r="A30" s="1201" t="s">
        <v>874</v>
      </c>
      <c r="B30" s="1201">
        <v>30</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3</v>
      </c>
      <c r="F35" s="335">
        <v>17618</v>
      </c>
    </row>
    <row r="36" spans="1:6">
      <c r="A36" s="1205" t="s">
        <v>25</v>
      </c>
      <c r="B36" s="1205" t="s">
        <v>27</v>
      </c>
      <c r="C36" s="335">
        <v>0</v>
      </c>
      <c r="D36" s="335">
        <v>0</v>
      </c>
      <c r="E36" s="335">
        <v>0</v>
      </c>
      <c r="F36" s="335">
        <v>0</v>
      </c>
    </row>
    <row r="37" spans="1:6">
      <c r="A37" s="1205" t="s">
        <v>25</v>
      </c>
      <c r="B37" s="1205" t="s">
        <v>28</v>
      </c>
      <c r="C37" s="335">
        <v>0</v>
      </c>
      <c r="D37" s="335">
        <v>0</v>
      </c>
      <c r="E37" s="335">
        <v>0</v>
      </c>
      <c r="F37" s="335">
        <v>0</v>
      </c>
    </row>
    <row r="38" spans="1:6">
      <c r="A38" s="1205" t="s">
        <v>25</v>
      </c>
      <c r="B38" s="1205" t="s">
        <v>29</v>
      </c>
      <c r="C38" s="335">
        <v>4</v>
      </c>
      <c r="D38" s="335">
        <v>482515.62875200901</v>
      </c>
      <c r="E38" s="335">
        <v>9</v>
      </c>
      <c r="F38" s="335">
        <v>86022.486773396202</v>
      </c>
    </row>
    <row r="39" spans="1:6">
      <c r="A39" s="1205" t="s">
        <v>30</v>
      </c>
      <c r="B39" s="1205" t="s">
        <v>31</v>
      </c>
      <c r="C39" s="335">
        <v>10966</v>
      </c>
      <c r="D39" s="335">
        <v>220255008.81935301</v>
      </c>
      <c r="E39" s="335">
        <v>16398</v>
      </c>
      <c r="F39" s="335">
        <v>68616740.598598897</v>
      </c>
    </row>
    <row r="40" spans="1:6">
      <c r="A40" s="1205" t="s">
        <v>30</v>
      </c>
      <c r="B40" s="1205" t="s">
        <v>29</v>
      </c>
      <c r="C40" s="335">
        <v>0</v>
      </c>
      <c r="D40" s="335">
        <v>0</v>
      </c>
      <c r="E40" s="335">
        <v>0</v>
      </c>
      <c r="F40" s="335">
        <v>0</v>
      </c>
    </row>
    <row r="41" spans="1:6">
      <c r="A41" s="1205" t="s">
        <v>32</v>
      </c>
      <c r="B41" s="1205" t="s">
        <v>33</v>
      </c>
      <c r="C41" s="335">
        <v>53</v>
      </c>
      <c r="D41" s="335">
        <v>2695340.5872594798</v>
      </c>
      <c r="E41" s="335">
        <v>175</v>
      </c>
      <c r="F41" s="335">
        <v>3087411.2723200298</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0</v>
      </c>
      <c r="D44" s="335">
        <v>0</v>
      </c>
      <c r="E44" s="335">
        <v>11</v>
      </c>
      <c r="F44" s="335">
        <v>158828.595466</v>
      </c>
    </row>
    <row r="45" spans="1:6">
      <c r="A45" s="1205" t="s">
        <v>32</v>
      </c>
      <c r="B45" s="1205" t="s">
        <v>37</v>
      </c>
      <c r="C45" s="335">
        <v>0</v>
      </c>
      <c r="D45" s="335">
        <v>0</v>
      </c>
      <c r="E45" s="335">
        <v>0</v>
      </c>
      <c r="F45" s="335">
        <v>0</v>
      </c>
    </row>
    <row r="46" spans="1:6">
      <c r="A46" s="1205" t="s">
        <v>32</v>
      </c>
      <c r="B46" s="1205" t="s">
        <v>38</v>
      </c>
      <c r="C46" s="335">
        <v>0</v>
      </c>
      <c r="D46" s="335">
        <v>0</v>
      </c>
      <c r="E46" s="335">
        <v>0</v>
      </c>
      <c r="F46" s="335">
        <v>0</v>
      </c>
    </row>
    <row r="47" spans="1:6">
      <c r="A47" s="1205" t="s">
        <v>32</v>
      </c>
      <c r="B47" s="1205" t="s">
        <v>39</v>
      </c>
      <c r="C47" s="335">
        <v>6</v>
      </c>
      <c r="D47" s="335">
        <v>198387.92851947999</v>
      </c>
      <c r="E47" s="335">
        <v>6</v>
      </c>
      <c r="F47" s="335">
        <v>52975.592740150503</v>
      </c>
    </row>
    <row r="48" spans="1:6">
      <c r="A48" s="1205" t="s">
        <v>32</v>
      </c>
      <c r="B48" s="1205" t="s">
        <v>29</v>
      </c>
      <c r="C48" s="335">
        <v>67</v>
      </c>
      <c r="D48" s="335">
        <v>59884509.220648997</v>
      </c>
      <c r="E48" s="335">
        <v>95</v>
      </c>
      <c r="F48" s="335">
        <v>27477374.869723201</v>
      </c>
    </row>
    <row r="49" spans="1:6">
      <c r="A49" s="1205" t="s">
        <v>32</v>
      </c>
      <c r="B49" s="1205" t="s">
        <v>40</v>
      </c>
      <c r="C49" s="335">
        <v>0</v>
      </c>
      <c r="D49" s="335">
        <v>0</v>
      </c>
      <c r="E49" s="335">
        <v>3</v>
      </c>
      <c r="F49" s="335">
        <v>16169.8279447736</v>
      </c>
    </row>
    <row r="50" spans="1:6">
      <c r="A50" s="1205" t="s">
        <v>32</v>
      </c>
      <c r="B50" s="1205" t="s">
        <v>41</v>
      </c>
      <c r="C50" s="335">
        <v>8</v>
      </c>
      <c r="D50" s="335">
        <v>722693.73806018895</v>
      </c>
      <c r="E50" s="335">
        <v>21</v>
      </c>
      <c r="F50" s="335">
        <v>1486200.3790025299</v>
      </c>
    </row>
    <row r="51" spans="1:6">
      <c r="A51" s="1205" t="s">
        <v>42</v>
      </c>
      <c r="B51" s="1205" t="s">
        <v>43</v>
      </c>
      <c r="C51" s="335">
        <v>4</v>
      </c>
      <c r="D51" s="335">
        <v>90574.875681617996</v>
      </c>
      <c r="E51" s="335">
        <v>68</v>
      </c>
      <c r="F51" s="335">
        <v>490079.32234781998</v>
      </c>
    </row>
    <row r="52" spans="1:6">
      <c r="A52" s="1205" t="s">
        <v>42</v>
      </c>
      <c r="B52" s="1205" t="s">
        <v>29</v>
      </c>
      <c r="C52" s="335">
        <v>11</v>
      </c>
      <c r="D52" s="335">
        <v>577804.23534643406</v>
      </c>
      <c r="E52" s="335">
        <v>14</v>
      </c>
      <c r="F52" s="335">
        <v>424103.06698150898</v>
      </c>
    </row>
    <row r="53" spans="1:6">
      <c r="A53" s="1205" t="s">
        <v>44</v>
      </c>
      <c r="B53" s="1205" t="s">
        <v>45</v>
      </c>
      <c r="C53" s="335">
        <v>284</v>
      </c>
      <c r="D53" s="335">
        <v>7751985.3321815003</v>
      </c>
      <c r="E53" s="335">
        <v>544</v>
      </c>
      <c r="F53" s="335">
        <v>3294769.0244076499</v>
      </c>
    </row>
    <row r="54" spans="1:6">
      <c r="A54" s="1205" t="s">
        <v>46</v>
      </c>
      <c r="B54" s="1205" t="s">
        <v>47</v>
      </c>
      <c r="C54" s="335">
        <v>0</v>
      </c>
      <c r="D54" s="335">
        <v>0</v>
      </c>
      <c r="E54" s="335">
        <v>1</v>
      </c>
      <c r="F54" s="335">
        <v>2022596</v>
      </c>
    </row>
    <row r="55" spans="1:6">
      <c r="A55" s="1205" t="s">
        <v>46</v>
      </c>
      <c r="B55" s="1205" t="s">
        <v>29</v>
      </c>
      <c r="C55" s="335">
        <v>0</v>
      </c>
      <c r="D55" s="335">
        <v>0</v>
      </c>
      <c r="E55" s="335">
        <v>0</v>
      </c>
      <c r="F55" s="335">
        <v>0</v>
      </c>
    </row>
    <row r="56" spans="1:6">
      <c r="A56" s="1205" t="s">
        <v>48</v>
      </c>
      <c r="B56" s="1205" t="s">
        <v>29</v>
      </c>
      <c r="C56" s="335">
        <v>0</v>
      </c>
      <c r="D56" s="335">
        <v>0</v>
      </c>
      <c r="E56" s="335">
        <v>0</v>
      </c>
      <c r="F56" s="335">
        <v>0</v>
      </c>
    </row>
    <row r="57" spans="1:6">
      <c r="A57" s="1205" t="s">
        <v>49</v>
      </c>
      <c r="B57" s="1205" t="s">
        <v>50</v>
      </c>
      <c r="C57" s="335">
        <v>55</v>
      </c>
      <c r="D57" s="335">
        <v>1866169.20105696</v>
      </c>
      <c r="E57" s="335">
        <v>127</v>
      </c>
      <c r="F57" s="335">
        <v>2156435.35038281</v>
      </c>
    </row>
    <row r="58" spans="1:6">
      <c r="A58" s="1205" t="s">
        <v>49</v>
      </c>
      <c r="B58" s="1205" t="s">
        <v>51</v>
      </c>
      <c r="C58" s="335">
        <v>28</v>
      </c>
      <c r="D58" s="335">
        <v>1963976.48299818</v>
      </c>
      <c r="E58" s="335">
        <v>57</v>
      </c>
      <c r="F58" s="335">
        <v>2046860.36083184</v>
      </c>
    </row>
    <row r="59" spans="1:6">
      <c r="A59" s="1205" t="s">
        <v>49</v>
      </c>
      <c r="B59" s="1205" t="s">
        <v>52</v>
      </c>
      <c r="C59" s="335">
        <v>150</v>
      </c>
      <c r="D59" s="335">
        <v>9442997.2808445599</v>
      </c>
      <c r="E59" s="335">
        <v>364</v>
      </c>
      <c r="F59" s="335">
        <v>12212076.8323252</v>
      </c>
    </row>
    <row r="60" spans="1:6">
      <c r="A60" s="1205" t="s">
        <v>49</v>
      </c>
      <c r="B60" s="1205" t="s">
        <v>53</v>
      </c>
      <c r="C60" s="335">
        <v>97</v>
      </c>
      <c r="D60" s="335">
        <v>6726283.1988530597</v>
      </c>
      <c r="E60" s="335">
        <v>137</v>
      </c>
      <c r="F60" s="335">
        <v>6491349.8746298105</v>
      </c>
    </row>
    <row r="61" spans="1:6">
      <c r="A61" s="1205" t="s">
        <v>49</v>
      </c>
      <c r="B61" s="1205" t="s">
        <v>54</v>
      </c>
      <c r="C61" s="335">
        <v>326</v>
      </c>
      <c r="D61" s="335">
        <v>27143458.1596977</v>
      </c>
      <c r="E61" s="335">
        <v>699</v>
      </c>
      <c r="F61" s="335">
        <v>11545121.3094646</v>
      </c>
    </row>
    <row r="62" spans="1:6">
      <c r="A62" s="1205" t="s">
        <v>49</v>
      </c>
      <c r="B62" s="1205" t="s">
        <v>55</v>
      </c>
      <c r="C62" s="335">
        <v>15</v>
      </c>
      <c r="D62" s="335">
        <v>2530337.5439427299</v>
      </c>
      <c r="E62" s="335">
        <v>19</v>
      </c>
      <c r="F62" s="335">
        <v>661940.78793160804</v>
      </c>
    </row>
    <row r="63" spans="1:6">
      <c r="A63" s="1205" t="s">
        <v>49</v>
      </c>
      <c r="B63" s="1205" t="s">
        <v>29</v>
      </c>
      <c r="C63" s="335">
        <v>279</v>
      </c>
      <c r="D63" s="335">
        <v>25379981.633020502</v>
      </c>
      <c r="E63" s="335">
        <v>333</v>
      </c>
      <c r="F63" s="335">
        <v>22786153.020354401</v>
      </c>
    </row>
    <row r="64" spans="1:6">
      <c r="A64" s="1205" t="s">
        <v>56</v>
      </c>
      <c r="B64" s="1205" t="s">
        <v>57</v>
      </c>
      <c r="C64" s="335">
        <v>0</v>
      </c>
      <c r="D64" s="335">
        <v>0</v>
      </c>
      <c r="E64" s="335">
        <v>0</v>
      </c>
      <c r="F64" s="335">
        <v>0</v>
      </c>
    </row>
    <row r="65" spans="1:6">
      <c r="A65" s="1205" t="s">
        <v>56</v>
      </c>
      <c r="B65" s="1205" t="s">
        <v>29</v>
      </c>
      <c r="C65" s="335">
        <v>9</v>
      </c>
      <c r="D65" s="335">
        <v>719225.92758488294</v>
      </c>
      <c r="E65" s="335">
        <v>6</v>
      </c>
      <c r="F65" s="335">
        <v>39599.2307233416</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8</v>
      </c>
      <c r="D68" s="335">
        <v>141118.64261158701</v>
      </c>
      <c r="E68" s="335">
        <v>29</v>
      </c>
      <c r="F68" s="335">
        <v>689595.644474086</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128151736</v>
      </c>
      <c r="E73" s="335">
        <v>130272573.6208799</v>
      </c>
    </row>
    <row r="74" spans="1:6">
      <c r="A74" s="1205" t="s">
        <v>64</v>
      </c>
      <c r="B74" s="1205" t="s">
        <v>772</v>
      </c>
      <c r="C74" s="1216" t="s">
        <v>766</v>
      </c>
      <c r="D74" s="335">
        <v>3391718.5887987176</v>
      </c>
      <c r="E74" s="335">
        <v>3538747.3039857121</v>
      </c>
    </row>
    <row r="75" spans="1:6">
      <c r="A75" s="1205" t="s">
        <v>65</v>
      </c>
      <c r="B75" s="1205" t="s">
        <v>771</v>
      </c>
      <c r="C75" s="1216" t="s">
        <v>767</v>
      </c>
      <c r="D75" s="335">
        <v>127171585</v>
      </c>
      <c r="E75" s="335">
        <v>130553080.10081352</v>
      </c>
    </row>
    <row r="76" spans="1:6">
      <c r="A76" s="1205" t="s">
        <v>65</v>
      </c>
      <c r="B76" s="1205" t="s">
        <v>772</v>
      </c>
      <c r="C76" s="1216" t="s">
        <v>768</v>
      </c>
      <c r="D76" s="335">
        <v>1898891.5887987176</v>
      </c>
      <c r="E76" s="335">
        <v>1965937.8137370856</v>
      </c>
    </row>
    <row r="77" spans="1:6">
      <c r="A77" s="1205" t="s">
        <v>66</v>
      </c>
      <c r="B77" s="1205" t="s">
        <v>771</v>
      </c>
      <c r="C77" s="1216" t="s">
        <v>769</v>
      </c>
      <c r="D77" s="335">
        <v>454198111</v>
      </c>
      <c r="E77" s="335">
        <v>490730520.69007754</v>
      </c>
    </row>
    <row r="78" spans="1:6">
      <c r="A78" s="1201" t="s">
        <v>66</v>
      </c>
      <c r="B78" s="1201" t="s">
        <v>772</v>
      </c>
      <c r="C78" s="1201" t="s">
        <v>770</v>
      </c>
      <c r="D78" s="1201">
        <v>43058607</v>
      </c>
      <c r="E78" s="1201">
        <v>47139715.749768272</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2141002.8224025648</v>
      </c>
      <c r="C83" s="335">
        <v>2075137.3806288689</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3362.7544034711714</v>
      </c>
    </row>
    <row r="92" spans="1:6">
      <c r="A92" s="1201" t="s">
        <v>69</v>
      </c>
      <c r="B92" s="338">
        <v>1113.7611869385141</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7949</v>
      </c>
    </row>
    <row r="98" spans="1:6">
      <c r="A98" s="1205" t="s">
        <v>72</v>
      </c>
      <c r="B98" s="335">
        <v>7</v>
      </c>
    </row>
    <row r="99" spans="1:6">
      <c r="A99" s="1205" t="s">
        <v>73</v>
      </c>
      <c r="B99" s="335">
        <v>122</v>
      </c>
    </row>
    <row r="100" spans="1:6">
      <c r="A100" s="1205" t="s">
        <v>74</v>
      </c>
      <c r="B100" s="335">
        <v>1160</v>
      </c>
    </row>
    <row r="101" spans="1:6">
      <c r="A101" s="1205" t="s">
        <v>75</v>
      </c>
      <c r="B101" s="335">
        <v>75</v>
      </c>
    </row>
    <row r="102" spans="1:6">
      <c r="A102" s="1205" t="s">
        <v>76</v>
      </c>
      <c r="B102" s="335">
        <v>251</v>
      </c>
    </row>
    <row r="103" spans="1:6">
      <c r="A103" s="1205" t="s">
        <v>77</v>
      </c>
      <c r="B103" s="335">
        <v>198</v>
      </c>
    </row>
    <row r="104" spans="1:6">
      <c r="A104" s="1205" t="s">
        <v>78</v>
      </c>
      <c r="B104" s="335">
        <v>5082</v>
      </c>
    </row>
    <row r="105" spans="1:6">
      <c r="A105" s="1201" t="s">
        <v>79</v>
      </c>
      <c r="B105" s="1201">
        <v>6</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11</v>
      </c>
      <c r="C123" s="335">
        <v>33</v>
      </c>
    </row>
    <row r="124" spans="1:6">
      <c r="A124" s="1201" t="s">
        <v>89</v>
      </c>
      <c r="B124" s="335">
        <v>0</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96</v>
      </c>
    </row>
    <row r="130" spans="1:6">
      <c r="A130" s="1205" t="s">
        <v>295</v>
      </c>
      <c r="B130" s="335">
        <v>0</v>
      </c>
    </row>
    <row r="131" spans="1:6">
      <c r="A131" s="1205" t="s">
        <v>296</v>
      </c>
      <c r="B131" s="335">
        <v>0</v>
      </c>
    </row>
    <row r="132" spans="1:6">
      <c r="A132" s="1201" t="s">
        <v>297</v>
      </c>
      <c r="B132" s="338">
        <v>12</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165110.09981578635</v>
      </c>
      <c r="C3" s="44" t="s">
        <v>170</v>
      </c>
      <c r="D3" s="44"/>
      <c r="E3" s="157"/>
      <c r="F3" s="44"/>
      <c r="G3" s="44"/>
      <c r="H3" s="44"/>
      <c r="I3" s="44"/>
      <c r="J3" s="44"/>
      <c r="K3" s="97"/>
    </row>
    <row r="4" spans="1:11">
      <c r="A4" s="365" t="s">
        <v>171</v>
      </c>
      <c r="B4" s="50">
        <f>IF(ISERROR('SEAP template'!B69),0,'SEAP template'!B69)</f>
        <v>4476.5155904096855</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0.21500818031977259</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2022.596</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2022.596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0.21500818031977259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434.87468548205078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68616.740598598903</v>
      </c>
      <c r="C5" s="18">
        <f>IF(ISERROR('Eigen informatie GS &amp; warmtenet'!B57),0,'Eigen informatie GS &amp; warmtenet'!B57)</f>
        <v>0</v>
      </c>
      <c r="D5" s="31">
        <f>(SUM(HH_hh_gas_kWh,HH_rest_gas_kWh)/1000)*0.902</f>
        <v>198670.01795505642</v>
      </c>
      <c r="E5" s="18">
        <f>B46*B57</f>
        <v>6165.9879846413305</v>
      </c>
      <c r="F5" s="18">
        <f>B51*B62</f>
        <v>46718.38414828408</v>
      </c>
      <c r="G5" s="19"/>
      <c r="H5" s="18"/>
      <c r="I5" s="18"/>
      <c r="J5" s="18">
        <f>B50*B61+C50*C61</f>
        <v>0</v>
      </c>
      <c r="K5" s="18"/>
      <c r="L5" s="18"/>
      <c r="M5" s="18"/>
      <c r="N5" s="18">
        <f>B48*B59+C48*C59</f>
        <v>12310.025181326026</v>
      </c>
      <c r="O5" s="18">
        <f>B69*B70*B71</f>
        <v>201.67000000000004</v>
      </c>
      <c r="P5" s="18">
        <f>B77*B78*B79/1000-B77*B78*B79/1000/B80</f>
        <v>438.5333333333333</v>
      </c>
    </row>
    <row r="6" spans="1:16">
      <c r="A6" s="17" t="s">
        <v>639</v>
      </c>
      <c r="B6" s="831">
        <f>kWh_PV_kleiner_dan_10kW</f>
        <v>3362.7544034711714</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71979.495002070078</v>
      </c>
      <c r="C8" s="22">
        <f>C5</f>
        <v>0</v>
      </c>
      <c r="D8" s="22">
        <f>D5</f>
        <v>198670.01795505642</v>
      </c>
      <c r="E8" s="22">
        <f>E5</f>
        <v>6165.9879846413305</v>
      </c>
      <c r="F8" s="22">
        <f>F5</f>
        <v>46718.38414828408</v>
      </c>
      <c r="G8" s="22"/>
      <c r="H8" s="22"/>
      <c r="I8" s="22"/>
      <c r="J8" s="22">
        <f>J5</f>
        <v>0</v>
      </c>
      <c r="K8" s="22"/>
      <c r="L8" s="22">
        <f>L5</f>
        <v>0</v>
      </c>
      <c r="M8" s="22">
        <f>M5</f>
        <v>0</v>
      </c>
      <c r="N8" s="22">
        <f>N5</f>
        <v>12310.025181326026</v>
      </c>
      <c r="O8" s="22">
        <f>O5</f>
        <v>201.67000000000004</v>
      </c>
      <c r="P8" s="22">
        <f>P5</f>
        <v>438.5333333333333</v>
      </c>
    </row>
    <row r="9" spans="1:16">
      <c r="B9" s="20"/>
      <c r="C9" s="20"/>
      <c r="D9" s="262"/>
      <c r="E9" s="20"/>
      <c r="F9" s="20"/>
      <c r="G9" s="20"/>
      <c r="H9" s="20"/>
      <c r="I9" s="20"/>
      <c r="J9" s="20"/>
      <c r="K9" s="20"/>
      <c r="L9" s="20"/>
      <c r="M9" s="20"/>
      <c r="N9" s="20"/>
      <c r="O9" s="20"/>
      <c r="P9" s="20"/>
    </row>
    <row r="10" spans="1:16">
      <c r="A10" s="25" t="s">
        <v>214</v>
      </c>
      <c r="B10" s="26">
        <f ca="1">'EF ele_warmte'!B12</f>
        <v>0.21500818031977259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15476.180240731253</v>
      </c>
      <c r="C12" s="24">
        <f ca="1">C10*C8</f>
        <v>0</v>
      </c>
      <c r="D12" s="24">
        <f>D8*D10</f>
        <v>40131.3436269214</v>
      </c>
      <c r="E12" s="24">
        <f>E10*E8</f>
        <v>1399.679272513582</v>
      </c>
      <c r="F12" s="24">
        <f>F10*F8</f>
        <v>12473.80856759185</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7949</v>
      </c>
      <c r="C18" s="169" t="s">
        <v>111</v>
      </c>
      <c r="D18" s="231"/>
      <c r="E18" s="16"/>
    </row>
    <row r="19" spans="1:7">
      <c r="A19" s="174" t="s">
        <v>72</v>
      </c>
      <c r="B19" s="38">
        <f>aantalw2001_ander</f>
        <v>7</v>
      </c>
      <c r="C19" s="169" t="s">
        <v>111</v>
      </c>
      <c r="D19" s="232"/>
      <c r="E19" s="16"/>
    </row>
    <row r="20" spans="1:7">
      <c r="A20" s="174" t="s">
        <v>73</v>
      </c>
      <c r="B20" s="38">
        <f>aantalw2001_propaan</f>
        <v>122</v>
      </c>
      <c r="C20" s="170">
        <f>IF(ISERROR(B20/SUM($B$20,$B$21,$B$22)*100),0,B20/SUM($B$20,$B$21,$B$22)*100)</f>
        <v>8.9904200442151812</v>
      </c>
      <c r="D20" s="232"/>
      <c r="E20" s="16"/>
    </row>
    <row r="21" spans="1:7">
      <c r="A21" s="174" t="s">
        <v>74</v>
      </c>
      <c r="B21" s="38">
        <f>aantalw2001_elektriciteit</f>
        <v>1160</v>
      </c>
      <c r="C21" s="170">
        <f>IF(ISERROR(B21/SUM($B$20,$B$21,$B$22)*100),0,B21/SUM($B$20,$B$21,$B$22)*100)</f>
        <v>85.482682387619747</v>
      </c>
      <c r="D21" s="232"/>
      <c r="E21" s="16"/>
    </row>
    <row r="22" spans="1:7">
      <c r="A22" s="174" t="s">
        <v>75</v>
      </c>
      <c r="B22" s="38">
        <f>aantalw2001_hout</f>
        <v>75</v>
      </c>
      <c r="C22" s="170">
        <f>IF(ISERROR(B22/SUM($B$20,$B$21,$B$22)*100),0,B22/SUM($B$20,$B$21,$B$22)*100)</f>
        <v>5.5268975681650696</v>
      </c>
      <c r="D22" s="232"/>
      <c r="E22" s="16"/>
    </row>
    <row r="23" spans="1:7">
      <c r="A23" s="174" t="s">
        <v>76</v>
      </c>
      <c r="B23" s="38">
        <f>aantalw2001_niet_gespec</f>
        <v>251</v>
      </c>
      <c r="C23" s="169" t="s">
        <v>111</v>
      </c>
      <c r="D23" s="231"/>
      <c r="E23" s="16"/>
    </row>
    <row r="24" spans="1:7">
      <c r="A24" s="174" t="s">
        <v>77</v>
      </c>
      <c r="B24" s="38">
        <f>aantalw2001_steenkool</f>
        <v>198</v>
      </c>
      <c r="C24" s="169" t="s">
        <v>111</v>
      </c>
      <c r="D24" s="232"/>
      <c r="E24" s="16"/>
    </row>
    <row r="25" spans="1:7">
      <c r="A25" s="174" t="s">
        <v>78</v>
      </c>
      <c r="B25" s="38">
        <f>aantalw2001_stookolie</f>
        <v>5082</v>
      </c>
      <c r="C25" s="169" t="s">
        <v>111</v>
      </c>
      <c r="D25" s="231"/>
      <c r="E25" s="53"/>
    </row>
    <row r="26" spans="1:7">
      <c r="A26" s="174" t="s">
        <v>79</v>
      </c>
      <c r="B26" s="38">
        <f>aantalw2001_WP</f>
        <v>6</v>
      </c>
      <c r="C26" s="169" t="s">
        <v>111</v>
      </c>
      <c r="D26" s="231"/>
      <c r="E26" s="16"/>
    </row>
    <row r="27" spans="1:7" s="16" customFormat="1">
      <c r="A27" s="174"/>
      <c r="B27" s="30"/>
      <c r="C27" s="37"/>
      <c r="D27" s="231"/>
    </row>
    <row r="28" spans="1:7" s="16" customFormat="1">
      <c r="A28" s="233" t="s">
        <v>665</v>
      </c>
      <c r="B28" s="38">
        <f>aantalHuishoudens2011</f>
        <v>16468</v>
      </c>
      <c r="C28" s="37"/>
      <c r="D28" s="231"/>
    </row>
    <row r="29" spans="1:7" s="16" customFormat="1">
      <c r="A29" s="233" t="s">
        <v>666</v>
      </c>
      <c r="B29" s="38">
        <f>SUM(HH_hh_gas_aantal,HH_rest_gas_aantal)</f>
        <v>10966</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10966</v>
      </c>
      <c r="C32" s="170">
        <f>IF(ISERROR(B32/SUM($B$32,$B$34,$B$35,$B$36,$B$38,$B$39)*100),0,B32/SUM($B$32,$B$34,$B$35,$B$36,$B$38,$B$39)*100)</f>
        <v>66.682882335056249</v>
      </c>
      <c r="D32" s="236"/>
      <c r="G32" s="16"/>
    </row>
    <row r="33" spans="1:7">
      <c r="A33" s="174" t="s">
        <v>72</v>
      </c>
      <c r="B33" s="35" t="s">
        <v>111</v>
      </c>
      <c r="C33" s="170"/>
      <c r="D33" s="236"/>
      <c r="G33" s="16"/>
    </row>
    <row r="34" spans="1:7">
      <c r="A34" s="174" t="s">
        <v>73</v>
      </c>
      <c r="B34" s="34">
        <f>IF((($B$28-$B$32-$B$39-$B$77-$B$38)*C20/100)&lt;0,0,($B$28-$B$32-$B$39-$B$77-$B$38)*C20/100)</f>
        <v>279.80884303610912</v>
      </c>
      <c r="C34" s="170">
        <f>IF(ISERROR(B34/SUM($B$32,$B$34,$B$35,$B$36,$B$38,$B$39)*100),0,B34/SUM($B$32,$B$34,$B$35,$B$36,$B$38,$B$39)*100)</f>
        <v>1.7014827791797453</v>
      </c>
      <c r="D34" s="236"/>
      <c r="G34" s="16"/>
    </row>
    <row r="35" spans="1:7">
      <c r="A35" s="174" t="s">
        <v>74</v>
      </c>
      <c r="B35" s="34">
        <f>IF((($B$28-$B$32-$B$39-$B$77-$B$38)*C21/100)&lt;0,0,($B$28-$B$32-$B$39-$B$77-$B$38)*C21/100)</f>
        <v>2660.4775239498895</v>
      </c>
      <c r="C35" s="170">
        <f>IF(ISERROR(B35/SUM($B$32,$B$34,$B$35,$B$36,$B$38,$B$39)*100),0,B35/SUM($B$32,$B$34,$B$35,$B$36,$B$38,$B$39)*100)</f>
        <v>16.178032982364787</v>
      </c>
      <c r="D35" s="236"/>
      <c r="G35" s="16"/>
    </row>
    <row r="36" spans="1:7">
      <c r="A36" s="174" t="s">
        <v>75</v>
      </c>
      <c r="B36" s="34">
        <f>IF((($B$28-$B$32-$B$39-$B$77-$B$38)*C22/100)&lt;0,0,($B$28-$B$32-$B$39-$B$77-$B$38)*C22/100)</f>
        <v>172.01363301400147</v>
      </c>
      <c r="C36" s="170">
        <f>IF(ISERROR(B36/SUM($B$32,$B$34,$B$35,$B$36,$B$38,$B$39)*100),0,B36/SUM($B$32,$B$34,$B$35,$B$36,$B$38,$B$39)*100)</f>
        <v>1.0459935117908268</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2366.6999999999998</v>
      </c>
      <c r="C39" s="170">
        <f>IF(ISERROR(B39/SUM($B$32,$B$34,$B$35,$B$36,$B$38,$B$39)*100),0,B39/SUM($B$32,$B$34,$B$35,$B$36,$B$38,$B$39)*100)</f>
        <v>14.39160839160839</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10966</v>
      </c>
      <c r="C44" s="35" t="s">
        <v>111</v>
      </c>
      <c r="D44" s="177"/>
    </row>
    <row r="45" spans="1:7">
      <c r="A45" s="174" t="s">
        <v>72</v>
      </c>
      <c r="B45" s="34" t="str">
        <f t="shared" si="0"/>
        <v>-</v>
      </c>
      <c r="C45" s="35" t="s">
        <v>111</v>
      </c>
      <c r="D45" s="177"/>
    </row>
    <row r="46" spans="1:7">
      <c r="A46" s="174" t="s">
        <v>73</v>
      </c>
      <c r="B46" s="34">
        <f t="shared" si="0"/>
        <v>279.80884303610912</v>
      </c>
      <c r="C46" s="35" t="s">
        <v>111</v>
      </c>
      <c r="D46" s="177"/>
    </row>
    <row r="47" spans="1:7">
      <c r="A47" s="174" t="s">
        <v>74</v>
      </c>
      <c r="B47" s="34">
        <f t="shared" si="0"/>
        <v>2660.4775239498895</v>
      </c>
      <c r="C47" s="35" t="s">
        <v>111</v>
      </c>
      <c r="D47" s="177"/>
    </row>
    <row r="48" spans="1:7">
      <c r="A48" s="174" t="s">
        <v>75</v>
      </c>
      <c r="B48" s="34">
        <f t="shared" si="0"/>
        <v>172.01363301400147</v>
      </c>
      <c r="C48" s="34">
        <f>B48*10</f>
        <v>1720.1363301400147</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2366.6999999999998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129</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23</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57899.937535920268</v>
      </c>
      <c r="C5" s="18">
        <f>IF(ISERROR('Eigen informatie GS &amp; warmtenet'!B58),0,'Eigen informatie GS &amp; warmtenet'!B58)</f>
        <v>0</v>
      </c>
      <c r="D5" s="31">
        <f>SUM(D6:D12)</f>
        <v>67697.989557373163</v>
      </c>
      <c r="E5" s="18">
        <f>SUM(E6:E12)</f>
        <v>638.52388025779624</v>
      </c>
      <c r="F5" s="18">
        <f>SUM(F6:F12)</f>
        <v>11467.920559746039</v>
      </c>
      <c r="G5" s="19"/>
      <c r="H5" s="18"/>
      <c r="I5" s="18"/>
      <c r="J5" s="18">
        <f>SUM(J6:J12)</f>
        <v>0</v>
      </c>
      <c r="K5" s="18"/>
      <c r="L5" s="18"/>
      <c r="M5" s="18"/>
      <c r="N5" s="18">
        <f>SUM(N6:N12)</f>
        <v>2826.2246185126141</v>
      </c>
      <c r="O5" s="18">
        <f>B38*B39*B40</f>
        <v>0</v>
      </c>
      <c r="P5" s="18">
        <f>B46*B47*B48/1000-B46*B47*B48/1000/B49</f>
        <v>0</v>
      </c>
      <c r="R5" s="33"/>
    </row>
    <row r="6" spans="1:18">
      <c r="A6" s="33" t="s">
        <v>54</v>
      </c>
      <c r="B6" s="38">
        <f>B26</f>
        <v>11545.121309464599</v>
      </c>
      <c r="C6" s="34"/>
      <c r="D6" s="38">
        <f>IF(ISERROR(TER_kantoor_gas_kWh/1000),0,TER_kantoor_gas_kWh/1000)*0.902</f>
        <v>24483.399260047325</v>
      </c>
      <c r="E6" s="34">
        <f>$C$26*'E Balans VL '!I12/100/3.6*1000000</f>
        <v>18.947883986094375</v>
      </c>
      <c r="F6" s="34">
        <f>$C$26*('E Balans VL '!L12+'E Balans VL '!N12)/100/3.6*1000000</f>
        <v>1360.8981604328571</v>
      </c>
      <c r="G6" s="35"/>
      <c r="H6" s="34"/>
      <c r="I6" s="34"/>
      <c r="J6" s="34">
        <f>$C$26*('E Balans VL '!D12+'E Balans VL '!E12)/100/3.6*1000000</f>
        <v>0</v>
      </c>
      <c r="K6" s="34"/>
      <c r="L6" s="34"/>
      <c r="M6" s="34"/>
      <c r="N6" s="34">
        <f>$C$26*'E Balans VL '!Y12/100/3.6*1000000</f>
        <v>2.3326370899521804</v>
      </c>
      <c r="O6" s="34"/>
      <c r="P6" s="34"/>
      <c r="R6" s="33"/>
    </row>
    <row r="7" spans="1:18">
      <c r="A7" s="33" t="s">
        <v>53</v>
      </c>
      <c r="B7" s="38">
        <f t="shared" ref="B7:B12" si="0">B27</f>
        <v>6491.3498746298101</v>
      </c>
      <c r="C7" s="34"/>
      <c r="D7" s="38">
        <f>IF(ISERROR(TER_horeca_gas_kWh/1000),0,TER_horeca_gas_kWh/1000)*0.902</f>
        <v>6067.1074453654601</v>
      </c>
      <c r="E7" s="34">
        <f>$C$27*'E Balans VL '!I9/100/3.6*1000000</f>
        <v>336.85408608042212</v>
      </c>
      <c r="F7" s="34">
        <f>$C$27*('E Balans VL '!L9+'E Balans VL '!N9)/100/3.6*1000000</f>
        <v>1481.3307515373363</v>
      </c>
      <c r="G7" s="35"/>
      <c r="H7" s="34"/>
      <c r="I7" s="34"/>
      <c r="J7" s="34">
        <f>$C$27*('E Balans VL '!D9+'E Balans VL '!E9)/100/3.6*1000000</f>
        <v>0</v>
      </c>
      <c r="K7" s="34"/>
      <c r="L7" s="34"/>
      <c r="M7" s="34"/>
      <c r="N7" s="34">
        <f>$C$27*'E Balans VL '!Y9/100/3.6*1000000</f>
        <v>0.68548357197004561</v>
      </c>
      <c r="O7" s="34"/>
      <c r="P7" s="34"/>
      <c r="R7" s="33"/>
    </row>
    <row r="8" spans="1:18">
      <c r="A8" s="6" t="s">
        <v>52</v>
      </c>
      <c r="B8" s="38">
        <f t="shared" si="0"/>
        <v>12212.0768323252</v>
      </c>
      <c r="C8" s="34"/>
      <c r="D8" s="38">
        <f>IF(ISERROR(TER_handel_gas_kWh/1000),0,TER_handel_gas_kWh/1000)*0.902</f>
        <v>8517.583547321794</v>
      </c>
      <c r="E8" s="34">
        <f>$C$28*'E Balans VL '!I13/100/3.6*1000000</f>
        <v>65.763534406859421</v>
      </c>
      <c r="F8" s="34">
        <f>$C$28*('E Balans VL '!L13+'E Balans VL '!N13)/100/3.6*1000000</f>
        <v>2490.4053763484144</v>
      </c>
      <c r="G8" s="35"/>
      <c r="H8" s="34"/>
      <c r="I8" s="34"/>
      <c r="J8" s="34">
        <f>$C$28*('E Balans VL '!D13+'E Balans VL '!E13)/100/3.6*1000000</f>
        <v>0</v>
      </c>
      <c r="K8" s="34"/>
      <c r="L8" s="34"/>
      <c r="M8" s="34"/>
      <c r="N8" s="34">
        <f>$C$28*'E Balans VL '!Y13/100/3.6*1000000</f>
        <v>60.724209074146032</v>
      </c>
      <c r="O8" s="34"/>
      <c r="P8" s="34"/>
      <c r="R8" s="33"/>
    </row>
    <row r="9" spans="1:18">
      <c r="A9" s="33" t="s">
        <v>51</v>
      </c>
      <c r="B9" s="38">
        <f t="shared" si="0"/>
        <v>2046.8603608318399</v>
      </c>
      <c r="C9" s="34"/>
      <c r="D9" s="38">
        <f>IF(ISERROR(TER_gezond_gas_kWh/1000),0,TER_gezond_gas_kWh/1000)*0.902</f>
        <v>1771.5067876643584</v>
      </c>
      <c r="E9" s="34">
        <f>$C$29*'E Balans VL '!I10/100/3.6*1000000</f>
        <v>2.0284618943840429</v>
      </c>
      <c r="F9" s="34">
        <f>$C$29*('E Balans VL '!L10+'E Balans VL '!N10)/100/3.6*1000000</f>
        <v>710.20154672218644</v>
      </c>
      <c r="G9" s="35"/>
      <c r="H9" s="34"/>
      <c r="I9" s="34"/>
      <c r="J9" s="34">
        <f>$C$29*('E Balans VL '!D10+'E Balans VL '!E10)/100/3.6*1000000</f>
        <v>0</v>
      </c>
      <c r="K9" s="34"/>
      <c r="L9" s="34"/>
      <c r="M9" s="34"/>
      <c r="N9" s="34">
        <f>$C$29*'E Balans VL '!Y10/100/3.6*1000000</f>
        <v>17.637618410625024</v>
      </c>
      <c r="O9" s="34"/>
      <c r="P9" s="34"/>
      <c r="R9" s="33"/>
    </row>
    <row r="10" spans="1:18">
      <c r="A10" s="33" t="s">
        <v>50</v>
      </c>
      <c r="B10" s="38">
        <f t="shared" si="0"/>
        <v>2156.4353503828102</v>
      </c>
      <c r="C10" s="34"/>
      <c r="D10" s="38">
        <f>IF(ISERROR(TER_ander_gas_kWh/1000),0,TER_ander_gas_kWh/1000)*0.902</f>
        <v>1683.284619353378</v>
      </c>
      <c r="E10" s="34">
        <f>$C$30*'E Balans VL '!I14/100/3.6*1000000</f>
        <v>17.641796369775154</v>
      </c>
      <c r="F10" s="34">
        <f>$C$30*('E Balans VL '!L14+'E Balans VL '!N14)/100/3.6*1000000</f>
        <v>630.45390433277737</v>
      </c>
      <c r="G10" s="35"/>
      <c r="H10" s="34"/>
      <c r="I10" s="34"/>
      <c r="J10" s="34">
        <f>$C$30*('E Balans VL '!D14+'E Balans VL '!E14)/100/3.6*1000000</f>
        <v>0</v>
      </c>
      <c r="K10" s="34"/>
      <c r="L10" s="34"/>
      <c r="M10" s="34"/>
      <c r="N10" s="34">
        <f>$C$30*'E Balans VL '!Y14/100/3.6*1000000</f>
        <v>1243.9802489453623</v>
      </c>
      <c r="O10" s="34"/>
      <c r="P10" s="34"/>
      <c r="R10" s="33"/>
    </row>
    <row r="11" spans="1:18">
      <c r="A11" s="33" t="s">
        <v>55</v>
      </c>
      <c r="B11" s="38">
        <f t="shared" si="0"/>
        <v>661.94078793160804</v>
      </c>
      <c r="C11" s="34"/>
      <c r="D11" s="38">
        <f>IF(ISERROR(TER_onderwijs_gas_kWh/1000),0,TER_onderwijs_gas_kWh/1000)*0.902</f>
        <v>2282.3644646363427</v>
      </c>
      <c r="E11" s="34">
        <f>$C$31*'E Balans VL '!I11/100/3.6*1000000</f>
        <v>0.40799237162625379</v>
      </c>
      <c r="F11" s="34">
        <f>$C$31*('E Balans VL '!L11+'E Balans VL '!N11)/100/3.6*1000000</f>
        <v>255.91702852652617</v>
      </c>
      <c r="G11" s="35"/>
      <c r="H11" s="34"/>
      <c r="I11" s="34"/>
      <c r="J11" s="34">
        <f>$C$31*('E Balans VL '!D11+'E Balans VL '!E11)/100/3.6*1000000</f>
        <v>0</v>
      </c>
      <c r="K11" s="34"/>
      <c r="L11" s="34"/>
      <c r="M11" s="34"/>
      <c r="N11" s="34">
        <f>$C$31*'E Balans VL '!Y11/100/3.6*1000000</f>
        <v>2.1531515322593884</v>
      </c>
      <c r="O11" s="34"/>
      <c r="P11" s="34"/>
      <c r="R11" s="33"/>
    </row>
    <row r="12" spans="1:18">
      <c r="A12" s="33" t="s">
        <v>260</v>
      </c>
      <c r="B12" s="38">
        <f t="shared" si="0"/>
        <v>22786.153020354403</v>
      </c>
      <c r="C12" s="34"/>
      <c r="D12" s="38">
        <f>IF(ISERROR(TER_rest_gas_kWh/1000),0,TER_rest_gas_kWh/1000)*0.902</f>
        <v>22892.743432984495</v>
      </c>
      <c r="E12" s="34">
        <f>$C$32*'E Balans VL '!I8/100/3.6*1000000</f>
        <v>196.88012514863482</v>
      </c>
      <c r="F12" s="34">
        <f>$C$32*('E Balans VL '!L8+'E Balans VL '!N8)/100/3.6*1000000</f>
        <v>4538.7137918459412</v>
      </c>
      <c r="G12" s="35"/>
      <c r="H12" s="34"/>
      <c r="I12" s="34"/>
      <c r="J12" s="34">
        <f>$C$32*('E Balans VL '!D8+'E Balans VL '!E8)/100/3.6*1000000</f>
        <v>0</v>
      </c>
      <c r="K12" s="34"/>
      <c r="L12" s="34"/>
      <c r="M12" s="34"/>
      <c r="N12" s="34">
        <f>$C$32*'E Balans VL '!Y8/100/3.6*1000000</f>
        <v>1498.7112698882988</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57899.937535920268</v>
      </c>
      <c r="C16" s="22">
        <f t="shared" ca="1" si="1"/>
        <v>0</v>
      </c>
      <c r="D16" s="22">
        <f t="shared" ca="1" si="1"/>
        <v>67697.989557373163</v>
      </c>
      <c r="E16" s="22">
        <f t="shared" si="1"/>
        <v>638.52388025779624</v>
      </c>
      <c r="F16" s="22">
        <f t="shared" ca="1" si="1"/>
        <v>11467.920559746039</v>
      </c>
      <c r="G16" s="22">
        <f t="shared" si="1"/>
        <v>0</v>
      </c>
      <c r="H16" s="22">
        <f t="shared" si="1"/>
        <v>0</v>
      </c>
      <c r="I16" s="22">
        <f t="shared" si="1"/>
        <v>0</v>
      </c>
      <c r="J16" s="22">
        <f t="shared" si="1"/>
        <v>0</v>
      </c>
      <c r="K16" s="22">
        <f t="shared" si="1"/>
        <v>0</v>
      </c>
      <c r="L16" s="22">
        <f t="shared" ca="1" si="1"/>
        <v>0</v>
      </c>
      <c r="M16" s="22">
        <f t="shared" si="1"/>
        <v>0</v>
      </c>
      <c r="N16" s="22">
        <f t="shared" ca="1" si="1"/>
        <v>2826.2246185126141</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0.21500818031977259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12448.960210226714</v>
      </c>
      <c r="C20" s="24">
        <f t="shared" ref="C20:P20" ca="1" si="2">C16*C18</f>
        <v>0</v>
      </c>
      <c r="D20" s="24">
        <f t="shared" ca="1" si="2"/>
        <v>13674.99389058938</v>
      </c>
      <c r="E20" s="24">
        <f t="shared" si="2"/>
        <v>144.94492081851976</v>
      </c>
      <c r="F20" s="24">
        <f t="shared" ca="1" si="2"/>
        <v>3061.9347894521925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11545.121309464599</v>
      </c>
      <c r="C26" s="40">
        <f>IF(ISERROR(B26*3.6/1000000/'E Balans VL '!Z12*100),0,B26*3.6/1000000/'E Balans VL '!Z12*100)</f>
        <v>0.24532554846122845</v>
      </c>
      <c r="D26" s="240" t="s">
        <v>707</v>
      </c>
      <c r="F26" s="6"/>
    </row>
    <row r="27" spans="1:18">
      <c r="A27" s="234" t="s">
        <v>53</v>
      </c>
      <c r="B27" s="34">
        <f>IF(ISERROR(TER_horeca_ele_kWh/1000),0,TER_horeca_ele_kWh/1000)</f>
        <v>6491.3498746298101</v>
      </c>
      <c r="C27" s="40">
        <f>IF(ISERROR(B27*3.6/1000000/'E Balans VL '!Z9*100),0,B27*3.6/1000000/'E Balans VL '!Z9*100)</f>
        <v>0.51091943252425764</v>
      </c>
      <c r="D27" s="240" t="s">
        <v>707</v>
      </c>
      <c r="F27" s="6"/>
    </row>
    <row r="28" spans="1:18">
      <c r="A28" s="174" t="s">
        <v>52</v>
      </c>
      <c r="B28" s="34">
        <f>IF(ISERROR(TER_handel_ele_kWh/1000),0,TER_handel_ele_kWh/1000)</f>
        <v>12212.0768323252</v>
      </c>
      <c r="C28" s="40">
        <f>IF(ISERROR(B28*3.6/1000000/'E Balans VL '!Z13*100),0,B28*3.6/1000000/'E Balans VL '!Z13*100)</f>
        <v>0.34206680771892412</v>
      </c>
      <c r="D28" s="240" t="s">
        <v>707</v>
      </c>
      <c r="F28" s="6"/>
    </row>
    <row r="29" spans="1:18">
      <c r="A29" s="234" t="s">
        <v>51</v>
      </c>
      <c r="B29" s="34">
        <f>IF(ISERROR(TER_gezond_ele_kWh/1000),0,TER_gezond_ele_kWh/1000)</f>
        <v>2046.8603608318399</v>
      </c>
      <c r="C29" s="40">
        <f>IF(ISERROR(B29*3.6/1000000/'E Balans VL '!Z10*100),0,B29*3.6/1000000/'E Balans VL '!Z10*100)</f>
        <v>0.26185533471493794</v>
      </c>
      <c r="D29" s="240" t="s">
        <v>707</v>
      </c>
      <c r="F29" s="6"/>
    </row>
    <row r="30" spans="1:18">
      <c r="A30" s="234" t="s">
        <v>50</v>
      </c>
      <c r="B30" s="34">
        <f>IF(ISERROR(TER_ander_ele_kWh/1000),0,TER_ander_ele_kWh/1000)</f>
        <v>2156.4353503828102</v>
      </c>
      <c r="C30" s="40">
        <f>IF(ISERROR(B30*3.6/1000000/'E Balans VL '!Z14*100),0,B30*3.6/1000000/'E Balans VL '!Z14*100)</f>
        <v>0.16128319376695424</v>
      </c>
      <c r="D30" s="240" t="s">
        <v>707</v>
      </c>
      <c r="F30" s="6"/>
    </row>
    <row r="31" spans="1:18">
      <c r="A31" s="234" t="s">
        <v>55</v>
      </c>
      <c r="B31" s="34">
        <f>IF(ISERROR(TER_onderwijs_ele_kWh/1000),0,TER_onderwijs_ele_kWh/1000)</f>
        <v>661.94078793160804</v>
      </c>
      <c r="C31" s="40">
        <f>IF(ISERROR(B31*3.6/1000000/'E Balans VL '!Z11*100),0,B31*3.6/1000000/'E Balans VL '!Z11*100)</f>
        <v>0.13976965480424461</v>
      </c>
      <c r="D31" s="240" t="s">
        <v>707</v>
      </c>
    </row>
    <row r="32" spans="1:18">
      <c r="A32" s="234" t="s">
        <v>260</v>
      </c>
      <c r="B32" s="34">
        <f>IF(ISERROR(TER_rest_ele_kWh/1000),0,TER_rest_ele_kWh/1000)</f>
        <v>22786.153020354403</v>
      </c>
      <c r="C32" s="40">
        <f>IF(ISERROR(B32*3.6/1000000/'E Balans VL '!Z8*100),0,B32*3.6/1000000/'E Balans VL '!Z8*100)</f>
        <v>0.18771078061439242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32278.960537196683</v>
      </c>
      <c r="C5" s="18">
        <f>IF(ISERROR('Eigen informatie GS &amp; warmtenet'!B59),0,'Eigen informatie GS &amp; warmtenet'!B59)</f>
        <v>0</v>
      </c>
      <c r="D5" s="31">
        <f>SUM(D6:D15)</f>
        <v>57277.84018998831</v>
      </c>
      <c r="E5" s="18">
        <f>SUM(E6:E15)</f>
        <v>282.64447026444645</v>
      </c>
      <c r="F5" s="18">
        <f>SUM(F6:F15)</f>
        <v>8062.335708406601</v>
      </c>
      <c r="G5" s="19"/>
      <c r="H5" s="18"/>
      <c r="I5" s="18"/>
      <c r="J5" s="18">
        <f>SUM(J6:J15)</f>
        <v>141.07986045751133</v>
      </c>
      <c r="K5" s="18"/>
      <c r="L5" s="18"/>
      <c r="M5" s="18"/>
      <c r="N5" s="18">
        <f>SUM(N6:N15)</f>
        <v>1119.6154305968353</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158.828595466</v>
      </c>
      <c r="C8" s="34"/>
      <c r="D8" s="38">
        <f>IF( ISERROR(IND_metaal_Gas_kWH/1000),0,IND_metaal_Gas_kWH/1000)*0.902</f>
        <v>0</v>
      </c>
      <c r="E8" s="34">
        <f>C30*'E Balans VL '!I18/100/3.6*1000000</f>
        <v>1.4464233960337216</v>
      </c>
      <c r="F8" s="34">
        <f>C30*'E Balans VL '!L18/100/3.6*1000000+C30*'E Balans VL '!N18/100/3.6*1000000</f>
        <v>20.948285576894897</v>
      </c>
      <c r="G8" s="35"/>
      <c r="H8" s="34"/>
      <c r="I8" s="34"/>
      <c r="J8" s="41">
        <f>C30*'E Balans VL '!D18/100/3.6*1000000+C30*'E Balans VL '!E18/100/3.6*1000000</f>
        <v>2.60455835482583</v>
      </c>
      <c r="K8" s="34"/>
      <c r="L8" s="34"/>
      <c r="M8" s="34"/>
      <c r="N8" s="34">
        <f>C30*'E Balans VL '!Y18/100/3.6*1000000</f>
        <v>0.54583078811894259</v>
      </c>
      <c r="O8" s="34"/>
      <c r="P8" s="34"/>
      <c r="R8" s="33"/>
    </row>
    <row r="9" spans="1:18">
      <c r="A9" s="6" t="s">
        <v>33</v>
      </c>
      <c r="B9" s="38">
        <f t="shared" si="0"/>
        <v>3087.4112723200296</v>
      </c>
      <c r="C9" s="34"/>
      <c r="D9" s="38">
        <f>IF( ISERROR(IND_andere_gas_kWh/1000),0,IND_andere_gas_kWh/1000)*0.902</f>
        <v>2431.1972097080511</v>
      </c>
      <c r="E9" s="34">
        <f>C31*'E Balans VL '!I19/100/3.6*1000000</f>
        <v>17.84569852946268</v>
      </c>
      <c r="F9" s="34">
        <f>C31*'E Balans VL '!L19/100/3.6*1000000+C31*'E Balans VL '!N19/100/3.6*1000000</f>
        <v>2456.1842274822579</v>
      </c>
      <c r="G9" s="35"/>
      <c r="H9" s="34"/>
      <c r="I9" s="34"/>
      <c r="J9" s="41">
        <f>C31*'E Balans VL '!D19/100/3.6*1000000+C31*'E Balans VL '!E19/100/3.6*1000000</f>
        <v>0.29203481236839796</v>
      </c>
      <c r="K9" s="34"/>
      <c r="L9" s="34"/>
      <c r="M9" s="34"/>
      <c r="N9" s="34">
        <f>C31*'E Balans VL '!Y19/100/3.6*1000000</f>
        <v>233.91812662163485</v>
      </c>
      <c r="O9" s="34"/>
      <c r="P9" s="34"/>
      <c r="R9" s="33"/>
    </row>
    <row r="10" spans="1:18">
      <c r="A10" s="6" t="s">
        <v>41</v>
      </c>
      <c r="B10" s="38">
        <f t="shared" si="0"/>
        <v>1486.2003790025299</v>
      </c>
      <c r="C10" s="34"/>
      <c r="D10" s="38">
        <f>IF( ISERROR(IND_voed_gas_kWh/1000),0,IND_voed_gas_kWh/1000)*0.902</f>
        <v>651.86975173029043</v>
      </c>
      <c r="E10" s="34">
        <f>C32*'E Balans VL '!I20/100/3.6*1000000</f>
        <v>14.613237850670316</v>
      </c>
      <c r="F10" s="34">
        <f>C32*'E Balans VL '!L20/100/3.6*1000000+C32*'E Balans VL '!N20/100/3.6*1000000</f>
        <v>165.06195093327267</v>
      </c>
      <c r="G10" s="35"/>
      <c r="H10" s="34"/>
      <c r="I10" s="34"/>
      <c r="J10" s="41">
        <f>C32*'E Balans VL '!D20/100/3.6*1000000+C32*'E Balans VL '!E20/100/3.6*1000000</f>
        <v>5.8577903880231222E-3</v>
      </c>
      <c r="K10" s="34"/>
      <c r="L10" s="34"/>
      <c r="M10" s="34"/>
      <c r="N10" s="34">
        <f>C32*'E Balans VL '!Y20/100/3.6*1000000</f>
        <v>22.007131701239935</v>
      </c>
      <c r="O10" s="34"/>
      <c r="P10" s="34"/>
      <c r="R10" s="33"/>
    </row>
    <row r="11" spans="1:18">
      <c r="A11" s="6" t="s">
        <v>40</v>
      </c>
      <c r="B11" s="38">
        <f t="shared" si="0"/>
        <v>16.169827944773601</v>
      </c>
      <c r="C11" s="34"/>
      <c r="D11" s="38">
        <f>IF( ISERROR(IND_textiel_gas_kWh/1000),0,IND_textiel_gas_kWh/1000)*0.902</f>
        <v>0</v>
      </c>
      <c r="E11" s="34">
        <f>C33*'E Balans VL '!I21/100/3.6*1000000</f>
        <v>3.1486409753222193E-2</v>
      </c>
      <c r="F11" s="34">
        <f>C33*'E Balans VL '!L21/100/3.6*1000000+C33*'E Balans VL '!N21/100/3.6*1000000</f>
        <v>0.53333398696695966</v>
      </c>
      <c r="G11" s="35"/>
      <c r="H11" s="34"/>
      <c r="I11" s="34"/>
      <c r="J11" s="41">
        <f>C33*'E Balans VL '!D21/100/3.6*1000000+C33*'E Balans VL '!E21/100/3.6*1000000</f>
        <v>0</v>
      </c>
      <c r="K11" s="34"/>
      <c r="L11" s="34"/>
      <c r="M11" s="34"/>
      <c r="N11" s="34">
        <f>C33*'E Balans VL '!Y21/100/3.6*1000000</f>
        <v>0.16772364530160624</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52.975592740150503</v>
      </c>
      <c r="C13" s="34"/>
      <c r="D13" s="38">
        <f>IF( ISERROR(IND_papier_gas_kWh/1000),0,IND_papier_gas_kWh/1000)*0.902</f>
        <v>178.94591152457096</v>
      </c>
      <c r="E13" s="34">
        <f>C35*'E Balans VL '!I23/100/3.6*1000000</f>
        <v>1.8044254983730637</v>
      </c>
      <c r="F13" s="34">
        <f>C35*'E Balans VL '!L23/100/3.6*1000000+C35*'E Balans VL '!N23/100/3.6*1000000</f>
        <v>8.7503246102742143</v>
      </c>
      <c r="G13" s="35"/>
      <c r="H13" s="34"/>
      <c r="I13" s="34"/>
      <c r="J13" s="41">
        <f>C35*'E Balans VL '!D23/100/3.6*1000000+C35*'E Balans VL '!E23/100/3.6*1000000</f>
        <v>0</v>
      </c>
      <c r="K13" s="34"/>
      <c r="L13" s="34"/>
      <c r="M13" s="34"/>
      <c r="N13" s="34">
        <f>C35*'E Balans VL '!Y23/100/3.6*1000000</f>
        <v>19.493597433110466</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27477.3748697232</v>
      </c>
      <c r="C15" s="34"/>
      <c r="D15" s="38">
        <f>IF( ISERROR(IND_rest_gas_kWh/1000),0,IND_rest_gas_kWh/1000)*0.902</f>
        <v>54015.827317025396</v>
      </c>
      <c r="E15" s="34">
        <f>C37*'E Balans VL '!I15/100/3.6*1000000</f>
        <v>246.90319858015343</v>
      </c>
      <c r="F15" s="34">
        <f>C37*'E Balans VL '!L15/100/3.6*1000000+C37*'E Balans VL '!N15/100/3.6*1000000</f>
        <v>5410.8575858169343</v>
      </c>
      <c r="G15" s="35"/>
      <c r="H15" s="34"/>
      <c r="I15" s="34"/>
      <c r="J15" s="41">
        <f>C37*'E Balans VL '!D15/100/3.6*1000000+C37*'E Balans VL '!E15/100/3.6*1000000</f>
        <v>138.17740949992907</v>
      </c>
      <c r="K15" s="34"/>
      <c r="L15" s="34"/>
      <c r="M15" s="34"/>
      <c r="N15" s="34">
        <f>C37*'E Balans VL '!Y15/100/3.6*1000000</f>
        <v>843.48302040742954</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32278.960537196683</v>
      </c>
      <c r="C18" s="22">
        <f>C5+C16</f>
        <v>0</v>
      </c>
      <c r="D18" s="22">
        <f>MAX((D5+D16),0)</f>
        <v>57277.84018998831</v>
      </c>
      <c r="E18" s="22">
        <f>MAX((E5+E16),0)</f>
        <v>282.64447026444645</v>
      </c>
      <c r="F18" s="22">
        <f>MAX((F5+F16),0)</f>
        <v>8062.335708406601</v>
      </c>
      <c r="G18" s="22"/>
      <c r="H18" s="22"/>
      <c r="I18" s="22"/>
      <c r="J18" s="22">
        <f>MAX((J5+J16),0)</f>
        <v>141.07986045751133</v>
      </c>
      <c r="K18" s="22"/>
      <c r="L18" s="22">
        <f>MAX((L5+L16),0)</f>
        <v>0</v>
      </c>
      <c r="M18" s="22"/>
      <c r="N18" s="22">
        <f>MAX((N5+N16),0)</f>
        <v>1119.6154305968353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0.21500818031977259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6940.2405677164079</v>
      </c>
      <c r="C22" s="24">
        <f ca="1">C18*C20</f>
        <v>0</v>
      </c>
      <c r="D22" s="24">
        <f>D18*D20</f>
        <v>11570.123718377639</v>
      </c>
      <c r="E22" s="24">
        <f>E18*E20</f>
        <v>64.160294750029351</v>
      </c>
      <c r="F22" s="24">
        <f>F18*F20</f>
        <v>2152.6436341445624</v>
      </c>
      <c r="G22" s="24"/>
      <c r="H22" s="24"/>
      <c r="I22" s="24"/>
      <c r="J22" s="24">
        <f>J18*J20</f>
        <v>49.942270601959009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158.828595466</v>
      </c>
      <c r="C30" s="40">
        <f>IF(ISERROR(B30*3.6/1000000/'E Balans VL '!Z18*100),0,B30*3.6/1000000/'E Balans VL '!Z18*100)</f>
        <v>8.8377492599773684E-3</v>
      </c>
      <c r="D30" s="240" t="s">
        <v>707</v>
      </c>
    </row>
    <row r="31" spans="1:18">
      <c r="A31" s="6" t="s">
        <v>33</v>
      </c>
      <c r="B31" s="38">
        <f>IF( ISERROR(IND_ander_ele_kWh/1000),0,IND_ander_ele_kWh/1000)</f>
        <v>3087.4112723200296</v>
      </c>
      <c r="C31" s="40">
        <f>IF(ISERROR(B31*3.6/1000000/'E Balans VL '!Z19*100),0,B31*3.6/1000000/'E Balans VL '!Z19*100)</f>
        <v>0.14352564157354714</v>
      </c>
      <c r="D31" s="240" t="s">
        <v>707</v>
      </c>
    </row>
    <row r="32" spans="1:18">
      <c r="A32" s="174" t="s">
        <v>41</v>
      </c>
      <c r="B32" s="38">
        <f>IF( ISERROR(IND_voed_ele_kWh/1000),0,IND_voed_ele_kWh/1000)</f>
        <v>1486.2003790025299</v>
      </c>
      <c r="C32" s="40">
        <f>IF(ISERROR(B32*3.6/1000000/'E Balans VL '!Z20*100),0,B32*3.6/1000000/'E Balans VL '!Z20*100)</f>
        <v>5.2534181888958822E-2</v>
      </c>
      <c r="D32" s="240" t="s">
        <v>707</v>
      </c>
    </row>
    <row r="33" spans="1:5">
      <c r="A33" s="174" t="s">
        <v>40</v>
      </c>
      <c r="B33" s="38">
        <f>IF( ISERROR(IND_textiel_ele_kWh/1000),0,IND_textiel_ele_kWh/1000)</f>
        <v>16.169827944773601</v>
      </c>
      <c r="C33" s="40">
        <f>IF(ISERROR(B33*3.6/1000000/'E Balans VL '!Z21*100),0,B33*3.6/1000000/'E Balans VL '!Z21*100)</f>
        <v>2.1839806238860724E-3</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52.975592740150503</v>
      </c>
      <c r="C35" s="40">
        <f>IF(ISERROR(B35*3.6/1000000/'E Balans VL '!Z22*100),0,B35*3.6/1000000/'E Balans VL '!Z22*100)</f>
        <v>1.0646600279523738E-2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27477.3748697232</v>
      </c>
      <c r="C37" s="40">
        <f>IF(ISERROR(B37*3.6/1000000/'E Balans VL '!Z15*100),0,B37*3.6/1000000/'E Balans VL '!Z15*100)</f>
        <v>0.20749477048694159</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914.18238932932888</v>
      </c>
      <c r="C5" s="18">
        <f>'Eigen informatie GS &amp; warmtenet'!B60</f>
        <v>0</v>
      </c>
      <c r="D5" s="31">
        <f>IF(ISERROR(SUM(LB_lb_gas_kWh,LB_rest_gas_kWh,onbekend_gas_kWh)/1000),0,SUM(LB_lb_gas_kWh,LB_rest_gas_kWh,onbekend_gas_kWh)/1000)*0.902</f>
        <v>7595.168727775017</v>
      </c>
      <c r="E5" s="18">
        <f>B17*'E Balans VL '!I25/3.6*1000000/100</f>
        <v>8.6122106297757597</v>
      </c>
      <c r="F5" s="18">
        <f>B17*('E Balans VL '!L25/3.6*1000000+'E Balans VL '!N25/3.6*1000000)/100</f>
        <v>2983.2805268718762</v>
      </c>
      <c r="G5" s="19"/>
      <c r="H5" s="18"/>
      <c r="I5" s="18"/>
      <c r="J5" s="18">
        <f>('E Balans VL '!D25+'E Balans VL '!E25)/3.6*1000000*landbouw!B17/100</f>
        <v>113.08880814232555</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914.18238932932888</v>
      </c>
      <c r="C8" s="22">
        <f>C5+C6</f>
        <v>0</v>
      </c>
      <c r="D8" s="22">
        <f>MAX((D5+D6),0)</f>
        <v>7595.168727775017</v>
      </c>
      <c r="E8" s="22">
        <f>MAX((E5+E6),0)</f>
        <v>8.6122106297757597</v>
      </c>
      <c r="F8" s="22">
        <f>MAX((F5+F6),0)</f>
        <v>2983.2805268718762</v>
      </c>
      <c r="G8" s="22"/>
      <c r="H8" s="22"/>
      <c r="I8" s="22"/>
      <c r="J8" s="22">
        <f>MAX((J5+J6),0)</f>
        <v>113.08880814232555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0.21500818031977259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196.55669201008089</v>
      </c>
      <c r="C12" s="24">
        <f ca="1">C8*C10</f>
        <v>0</v>
      </c>
      <c r="D12" s="24">
        <f>D8*D10</f>
        <v>1534.2240830105536</v>
      </c>
      <c r="E12" s="24">
        <f>E8*E10</f>
        <v>1.9549718129590976</v>
      </c>
      <c r="F12" s="24">
        <f>F8*F10</f>
        <v>796.53590067479104</v>
      </c>
      <c r="G12" s="24"/>
      <c r="H12" s="24"/>
      <c r="I12" s="24"/>
      <c r="J12" s="24">
        <f>J8*J10</f>
        <v>40.033438082383242</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0.12376568734758851</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77.559223539921035</v>
      </c>
      <c r="C26" s="250">
        <f>B26*'GWP N2O_CH4'!B5</f>
        <v>1628.7436943383418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7.1010650507229869</v>
      </c>
      <c r="C27" s="250">
        <f>B27*'GWP N2O_CH4'!B5</f>
        <v>149.12236606518272</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1.2121894724536346</v>
      </c>
      <c r="C28" s="250">
        <f>B28*'GWP N2O_CH4'!B4</f>
        <v>375.77873646062676</v>
      </c>
      <c r="D28" s="51"/>
    </row>
    <row r="29" spans="1:4">
      <c r="A29" s="42" t="s">
        <v>277</v>
      </c>
      <c r="B29" s="250">
        <f>B34*'ha_N2O bodem landbouw'!B4</f>
        <v>6.8445677839883192</v>
      </c>
      <c r="C29" s="250">
        <f>B29*'GWP N2O_CH4'!B4</f>
        <v>2121.816013036379</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1.8478178328566132E-3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5.3742064571958337E-5</v>
      </c>
      <c r="C5" s="447" t="s">
        <v>211</v>
      </c>
      <c r="D5" s="432">
        <f>SUM(D6:D11)</f>
        <v>1.528548214834598E-4</v>
      </c>
      <c r="E5" s="432">
        <f>SUM(E6:E11)</f>
        <v>1.0148760804590509E-2</v>
      </c>
      <c r="F5" s="445" t="s">
        <v>211</v>
      </c>
      <c r="G5" s="432">
        <f>SUM(G6:G11)</f>
        <v>1.8104790144854932</v>
      </c>
      <c r="H5" s="432">
        <f>SUM(H6:H11)</f>
        <v>0.35044705148837152</v>
      </c>
      <c r="I5" s="447" t="s">
        <v>211</v>
      </c>
      <c r="J5" s="447" t="s">
        <v>211</v>
      </c>
      <c r="K5" s="447" t="s">
        <v>211</v>
      </c>
      <c r="L5" s="447" t="s">
        <v>211</v>
      </c>
      <c r="M5" s="432">
        <f>SUM(M6:M11)</f>
        <v>9.6651648065760792E-2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9.7067383175545259E-6</v>
      </c>
      <c r="C6" s="433"/>
      <c r="D6" s="433">
        <f>vkm_2011_GW_PW*SUMIFS(TableVerdeelsleutelVkm[CNG],TableVerdeelsleutelVkm[Voertuigtype],"Lichte voertuigen")*SUMIFS(TableECFTransport[EnergieConsumptieFactor (PJ per km)],TableECFTransport[Index],CONCATENATE($A6,"_CNG_CNG"))</f>
        <v>2.3704017531248014E-5</v>
      </c>
      <c r="E6" s="435">
        <f>vkm_2011_GW_PW*SUMIFS(TableVerdeelsleutelVkm[LPG],TableVerdeelsleutelVkm[Voertuigtype],"Lichte voertuigen")*SUMIFS(TableECFTransport[EnergieConsumptieFactor (PJ per km)],TableECFTransport[Index],CONCATENATE($A6,"_LPG_LPG"))</f>
        <v>1.4050516601841149E-3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0.20311674577164165</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5.3231063630736632E-2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1.1479726998484905E-2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3.1534640789195427E-2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1.2722998126134867E-5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1.4048584904091128E-3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9.6324976590535018E-6</v>
      </c>
      <c r="C8" s="433"/>
      <c r="D8" s="435">
        <f>vkm_2011_NGW_PW*SUMIFS(TableVerdeelsleutelVkm[CNG],TableVerdeelsleutelVkm[Voertuigtype],"Lichte voertuigen")*SUMIFS(TableECFTransport[EnergieConsumptieFactor (PJ per km)],TableECFTransport[Index],CONCATENATE($A8,"_CNG_CNG"))</f>
        <v>4.2203757292150445E-5</v>
      </c>
      <c r="E8" s="435">
        <f>vkm_2011_NGW_PW*SUMIFS(TableVerdeelsleutelVkm[LPG],TableVerdeelsleutelVkm[Voertuigtype],"Lichte voertuigen")*SUMIFS(TableECFTransport[EnergieConsumptieFactor (PJ per km)],TableECFTransport[Index],CONCATENATE($A8,"_LPG_LPG"))</f>
        <v>2.2949860637715637E-3</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0.3134155141644196</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9.0756377085424708E-2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1.8107803668138557E-2</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2.4476703341427871E-2</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8.5984634134513213E-6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1.0903711563888027E-3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3.4402828595350306E-5</v>
      </c>
      <c r="C10" s="433"/>
      <c r="D10" s="435">
        <f>vkm_2011_SW_PW*SUMIFS(TableVerdeelsleutelVkm[CNG],TableVerdeelsleutelVkm[Voertuigtype],"Lichte voertuigen")*SUMIFS(TableECFTransport[EnergieConsumptieFactor (PJ per km)],TableECFTransport[Index],CONCATENATE($A10,"_CNG_CNG"))</f>
        <v>8.6947046660061346E-5</v>
      </c>
      <c r="E10" s="435">
        <f>vkm_2011_SW_PW*SUMIFS(TableVerdeelsleutelVkm[LPG],TableVerdeelsleutelVkm[Voertuigtype],"Lichte voertuigen")*SUMIFS(TableECFTransport[EnergieConsumptieFactor (PJ per km)],TableECFTransport[Index],CONCATENATE($A10,"_LPG_LPG"))</f>
        <v>6.4487230806348304E-3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0.84958319795008186</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0.20627205460450762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4.7267480055850734E-2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0.38835221246872681</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1.6623470616296658E-4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1.7301407696488674E-2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14.928351269988426</v>
      </c>
      <c r="C14" s="22"/>
      <c r="D14" s="22">
        <f t="shared" ref="D14:M14" si="0">((D5)*10^9/3600)+D12</f>
        <v>42.459672634294385</v>
      </c>
      <c r="E14" s="22">
        <f t="shared" si="0"/>
        <v>2819.1002234973635</v>
      </c>
      <c r="F14" s="22"/>
      <c r="G14" s="22">
        <f t="shared" si="0"/>
        <v>502910.83735708141</v>
      </c>
      <c r="H14" s="22">
        <f t="shared" si="0"/>
        <v>97346.403191214296</v>
      </c>
      <c r="I14" s="22"/>
      <c r="J14" s="22"/>
      <c r="K14" s="22"/>
      <c r="L14" s="22"/>
      <c r="M14" s="22">
        <f t="shared" si="0"/>
        <v>26847.680018266885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0.21500818031977259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3.2097176417345774</v>
      </c>
      <c r="C18" s="24"/>
      <c r="D18" s="24">
        <f t="shared" ref="D18:M18" si="1">D14*D16</f>
        <v>8.576853872127467</v>
      </c>
      <c r="E18" s="24">
        <f t="shared" si="1"/>
        <v>639.9357507339015</v>
      </c>
      <c r="F18" s="24"/>
      <c r="G18" s="24">
        <f t="shared" si="1"/>
        <v>134277.19357434075</v>
      </c>
      <c r="H18" s="24">
        <f t="shared" si="1"/>
        <v>24239.254394612359</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2.8062698617923508E-2</v>
      </c>
      <c r="H50" s="323">
        <f t="shared" si="2"/>
        <v>0</v>
      </c>
      <c r="I50" s="323">
        <f t="shared" si="2"/>
        <v>0</v>
      </c>
      <c r="J50" s="323">
        <f t="shared" si="2"/>
        <v>0</v>
      </c>
      <c r="K50" s="323">
        <f t="shared" si="2"/>
        <v>0</v>
      </c>
      <c r="L50" s="323">
        <f t="shared" si="2"/>
        <v>0</v>
      </c>
      <c r="M50" s="323">
        <f t="shared" si="2"/>
        <v>1.2322793886300264E-3</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2.8062698617923508E-2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1.2322793886300264E-3</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7795.1940605343079</v>
      </c>
      <c r="H54" s="22">
        <f t="shared" si="3"/>
        <v>0</v>
      </c>
      <c r="I54" s="22">
        <f t="shared" si="3"/>
        <v>0</v>
      </c>
      <c r="J54" s="22">
        <f t="shared" si="3"/>
        <v>0</v>
      </c>
      <c r="K54" s="22">
        <f t="shared" si="3"/>
        <v>0</v>
      </c>
      <c r="L54" s="22">
        <f t="shared" si="3"/>
        <v>0</v>
      </c>
      <c r="M54" s="22">
        <f t="shared" si="3"/>
        <v>342.29983017500729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0.21500818031977259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2081.3168141626602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4476.5155904096855</v>
      </c>
      <c r="C6" s="1135"/>
      <c r="D6" s="1138"/>
      <c r="E6" s="1138"/>
      <c r="F6" s="1141"/>
      <c r="G6" s="1144"/>
      <c r="H6" s="1132"/>
      <c r="I6" s="1138"/>
      <c r="J6" s="1138"/>
      <c r="K6" s="1138"/>
      <c r="L6" s="1168"/>
      <c r="M6" s="560"/>
      <c r="N6" s="1180"/>
      <c r="O6" s="1181"/>
      <c r="Q6" s="558"/>
      <c r="R6" s="1165"/>
      <c r="S6" s="1165"/>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4476.5155904096855</v>
      </c>
      <c r="C9" s="579">
        <f t="shared" ref="C9:L9" si="0">SUM(C7:C8)</f>
        <v>0</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2018-06-27T09:17:37Z</dcterms:modified>
</cp:coreProperties>
</file>