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0" s="1"/>
  <c r="D31" i="20"/>
  <c r="E43" i="14" s="1"/>
  <c r="E12" i="22"/>
  <c r="F17" i="14"/>
  <c r="E13" i="48"/>
  <c r="E30" s="1"/>
  <c r="I101" i="18"/>
  <c r="H16" s="1"/>
  <c r="I78" i="14" s="1"/>
  <c r="I81" s="1"/>
  <c r="E101" i="18"/>
  <c r="E16" s="1"/>
  <c r="F78" i="14" s="1"/>
  <c r="H101" i="18"/>
  <c r="D101"/>
  <c r="G101"/>
  <c r="I16" s="1"/>
  <c r="J78" i="14" s="1"/>
  <c r="C101" i="18"/>
  <c r="F101"/>
  <c r="B101"/>
  <c r="C16" s="1"/>
  <c r="D78" i="14" s="1"/>
  <c r="O78" s="1"/>
  <c r="I11" i="48"/>
  <c r="I28" s="1"/>
  <c r="N19" i="19"/>
  <c r="O35" i="14" s="1"/>
  <c r="B6" i="48"/>
  <c r="Q6" s="1"/>
  <c r="B8" i="9"/>
  <c r="P22" i="16"/>
  <c r="Q39" i="14" s="1"/>
  <c r="P18" i="16"/>
  <c r="P8" i="48" s="1"/>
  <c r="P25" s="1"/>
  <c r="F8" i="17"/>
  <c r="G22" i="14" s="1"/>
  <c r="K22"/>
  <c r="J8" i="17"/>
  <c r="J7" i="48" s="1"/>
  <c r="J24" s="1"/>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28" s="1"/>
  <c r="L12" i="13"/>
  <c r="M37" i="14" s="1"/>
  <c r="J7" i="15"/>
  <c r="B13" i="16"/>
  <c r="C35"/>
  <c r="I19" i="18"/>
  <c r="C80" i="14"/>
  <c r="L6" i="17"/>
  <c r="N13" i="15"/>
  <c r="L13"/>
  <c r="L16" s="1"/>
  <c r="K5" i="48"/>
  <c r="K22" s="1"/>
  <c r="K20" i="15"/>
  <c r="L36" i="14" s="1"/>
  <c r="L41"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H15" i="14"/>
  <c r="L15"/>
  <c r="Q46"/>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J27"/>
  <c r="D29"/>
  <c r="H29"/>
  <c r="L29"/>
  <c r="P29"/>
  <c r="K30"/>
  <c r="O30"/>
  <c r="C22" i="13"/>
  <c r="C21"/>
  <c r="C20"/>
  <c r="D23" i="48"/>
  <c r="H23"/>
  <c r="P23"/>
  <c r="H25"/>
  <c r="P26"/>
  <c r="F28"/>
  <c r="J28"/>
  <c r="N28"/>
  <c r="P30"/>
  <c r="E23"/>
  <c r="I23"/>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F19" i="18"/>
  <c r="D11" i="14"/>
  <c r="C4" i="48"/>
  <c r="M8" i="18"/>
  <c r="M17"/>
  <c r="M18"/>
  <c r="D13" i="14"/>
  <c r="L8" i="17" l="1"/>
  <c r="L12" s="1"/>
  <c r="M48" i="14" s="1"/>
  <c r="L5" i="17"/>
  <c r="F7" i="48"/>
  <c r="F24" s="1"/>
  <c r="C19" i="18"/>
  <c r="J12" i="17"/>
  <c r="K48" i="14" s="1"/>
  <c r="E19" i="18"/>
  <c r="B19"/>
  <c r="H19"/>
  <c r="F12" i="17"/>
  <c r="G48" i="14" s="1"/>
  <c r="C68"/>
  <c r="F81"/>
  <c r="J81"/>
  <c r="L27" i="48"/>
  <c r="D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M30"/>
  <c r="M29"/>
  <c r="M25"/>
  <c r="M24"/>
  <c r="I31"/>
  <c r="C50" i="13"/>
  <c r="J5" s="1"/>
  <c r="J8" s="1"/>
  <c r="C5" i="48"/>
  <c r="C14" s="1"/>
  <c r="M22" i="14" l="1"/>
  <c r="J7" i="18"/>
  <c r="K67" i="14" s="1"/>
  <c r="K69" s="1"/>
  <c r="L7" i="48"/>
  <c r="L24" s="1"/>
  <c r="E7"/>
  <c r="E24" s="1"/>
  <c r="E12" i="17"/>
  <c r="F48" i="14" s="1"/>
  <c r="C19"/>
  <c r="C20" s="1"/>
  <c r="R17"/>
  <c r="E10"/>
  <c r="E15" s="1"/>
  <c r="E23" s="1"/>
  <c r="D5" i="48"/>
  <c r="D22" s="1"/>
  <c r="D31" s="1"/>
  <c r="J16" i="15"/>
  <c r="K10" i="14" s="1"/>
  <c r="C9" i="18"/>
  <c r="D67" i="14"/>
  <c r="N7" i="48"/>
  <c r="N24" s="1"/>
  <c r="N12" i="17"/>
  <c r="O48" i="14" s="1"/>
  <c r="K78"/>
  <c r="M16" i="18"/>
  <c r="M19" s="1"/>
  <c r="J19"/>
  <c r="O22" i="14"/>
  <c r="P15"/>
  <c r="P23" s="1"/>
  <c r="O8" i="48"/>
  <c r="O25" s="1"/>
  <c r="P13" i="14"/>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Q7" i="48"/>
  <c r="M7" i="18"/>
  <c r="M9" s="1"/>
  <c r="J5" i="48"/>
  <c r="J22" s="1"/>
  <c r="J20" i="15"/>
  <c r="K36" i="14" s="1"/>
  <c r="N46"/>
  <c r="N5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14" i="48" l="1"/>
  <c r="J31"/>
  <c r="F22" i="16"/>
  <c r="G39" i="14" s="1"/>
  <c r="G41" s="1"/>
  <c r="G53" s="1"/>
  <c r="G55" s="1"/>
  <c r="O69" s="1"/>
  <c r="B9" i="6" s="1"/>
  <c r="B12" s="1"/>
  <c r="K13" i="14"/>
  <c r="K15" s="1"/>
  <c r="K23" s="1"/>
  <c r="F8" i="48"/>
  <c r="N55" i="14"/>
  <c r="E25" i="48"/>
  <c r="E31" s="1"/>
  <c r="E14"/>
  <c r="N25"/>
  <c r="N31" s="1"/>
  <c r="N14"/>
  <c r="E22" i="16"/>
  <c r="F39" i="14" s="1"/>
  <c r="F41" s="1"/>
  <c r="F53" s="1"/>
  <c r="F55" s="1"/>
  <c r="J22" i="16"/>
  <c r="K39" i="14" s="1"/>
  <c r="K41" s="1"/>
  <c r="K53" s="1"/>
  <c r="Q8" i="48"/>
  <c r="Q14" s="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4" l="1"/>
  <c r="Q24" s="1"/>
  <c r="B21"/>
  <c r="Q21" s="1"/>
  <c r="Q31"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<sst xmlns="http://schemas.openxmlformats.org/spreadsheetml/2006/main" count="2036" uniqueCount="889">
  <si>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</si>
  <si>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</si>
  <si>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</si>
  <si>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</si>
  <si>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</si>
  <si>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</si>
  <si>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</si>
  <si>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</si>
  <si>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</si>
  <si>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</si>
  <si>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</si>
  <si>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</si>
  <si>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</si>
  <si>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</si>
  <si>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</si>
  <si>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</si>
  <si>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</si>
  <si>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</si>
  <si>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</si>
  <si>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</si>
  <si>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</si>
  <si>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</si>
  <si>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</si>
  <si>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</si>
  <si>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</si>
  <si>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</si>
  <si>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</si>
  <si>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</si>
  <si>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</si>
  <si>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</si>
  <si>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</si>
  <si>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</si>
  <si>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</si>
  <si>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</si>
  <si>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</si>
  <si>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</si>
  <si>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</si>
  <si>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</si>
  <si>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</si>
  <si>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</si>
  <si>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</si>
  <si>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</si>
  <si>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</si>
  <si>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</si>
  <si>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</si>
  <si>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</si>
  <si>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</si>
  <si>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</si>
  <si>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</si>
  <si>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</si>
  <si>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</si>
  <si>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</si>
  <si>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</si>
  <si>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</si>
  <si>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</si>
  <si>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</si>
  <si>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</si>
  <si>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</si>
  <si>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</si>
  <si>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</si>
  <si>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</si>
  <si>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</si>
  <si>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</si>
  <si>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</si>
  <si>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</si>
  <si>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</si>
  <si>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</si>
  <si>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</si>
  <si>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</si>
  <si>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</si>
  <si>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</si>
  <si>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</si>
  <si>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</si>
  <si>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</si>
  <si>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</si>
  <si>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</si>
  <si>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</si>
  <si>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</si>
  <si>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</si>
  <si>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</si>
  <si>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</si>
  <si>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</si>
  <si>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</si>
  <si>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</si>
  <si>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</si>
  <si>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</si>
  <si>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</si>
  <si>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</si>
  <si>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</si>
  <si>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</si>
  <si>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</si>
  <si>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</si>
  <si>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</si>
  <si>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</si>
  <si>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</si>
  <si>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</si>
  <si>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</si>
  <si>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</si>
  <si>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</si>
  <si>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</si>
  <si>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</si>
  <si>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</si>
  <si>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</si>
  <si>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</si>
  <si>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</si>
  <si>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</si>
  <si>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</si>
  <si>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</si>
  <si>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</si>
  <si>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</si>
  <si>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</si>
  <si>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</si>
  <si>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</si>
  <si>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</si>
  <si>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</si>
  <si>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</si>
  <si>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</si>
  <si>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</si>
  <si>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</si>
  <si>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</si>
  <si>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</si>
  <si>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</si>
  <si>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</si>
  <si>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</si>
  <si>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</si>
  <si>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</si>
  <si>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</si>
  <si>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</si>
  <si>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</si>
  <si>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</si>
  <si>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</si>
  <si>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</si>
  <si>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</si>
  <si>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</si>
  <si>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</si>
  <si>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</si>
  <si>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</si>
  <si>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</si>
  <si>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</si>
  <si>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</si>
  <si>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</si>
  <si>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</si>
  <si>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</si>
  <si>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</si>
  <si>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</si>
  <si>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</si>
  <si>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</si>
  <si>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</si>
  <si>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</si>
  <si>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</si>
  <si>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</si>
  <si>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</si>
  <si>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</si>
  <si>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</si>
  <si>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</si>
  <si>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</si>
  <si>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</si>
  <si>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</si>
  <si>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</si>
  <si>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</si>
  <si>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</si>
  <si>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</si>
  <si>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</si>
  <si>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</si>
  <si>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</si>
  <si>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</si>
  <si>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</si>
  <si>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</si>
  <si>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</si>
  <si>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</si>
  <si>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</si>
  <si>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</si>
  <si>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</si>
  <si>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</si>
  <si>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</si>
  <si>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</si>
  <si>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</si>
  <si>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</si>
  <si>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</si>
  <si>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</si>
  <si>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</si>
  <si>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</si>
  <si>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</si>
  <si>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</si>
  <si>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</si>
  <si>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</si>
  <si>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</si>
  <si>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</si>
  <si>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</si>
  <si>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</si>
  <si>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</si>
  <si>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</si>
  <si>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</si>
  <si>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</si>
  <si>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</si>
  <si>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</si>
  <si>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</si>
  <si>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</si>
  <si>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</si>
  <si>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</si>
  <si>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</si>
  <si>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</si>
  <si>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</si>
  <si>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</si>
  <si>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</si>
  <si>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</si>
  <si>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</si>
  <si>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</si>
  <si>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</si>
  <si>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</si>
  <si>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</si>
  <si>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</si>
  <si>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</si>
  <si>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</si>
  <si>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</si>
  <si>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</si>
  <si>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</si>
  <si>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</si>
  <si>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</si>
  <si>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</si>
  <si>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</si>
  <si>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</si>
  <si>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</si>
  <si>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</si>
  <si>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</si>
  <si>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</si>
  <si>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</si>
  <si>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</si>
  <si>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</si>
  <si>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</si>
  <si>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</si>
  <si>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</si>
  <si>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</si>
  <si>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</si>
  <si>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</si>
  <si>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</si>
  <si>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</si>
  <si>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</si>
  <si>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</si>
  <si>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</si>
  <si>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</si>
  <si>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</si>
  <si>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</si>
  <si>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</si>
  <si>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</si>
  <si>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</si>
  <si>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</si>
  <si>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</si>
  <si>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</si>
  <si>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</si>
  <si>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</si>
  <si>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</si>
  <si>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</si>
  <si>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</si>
  <si>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</si>
  <si>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</si>
  <si>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</si>
  <si>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</si>
  <si>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</si>
  <si>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</si>
  <si>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</si>
  <si>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</si>
  <si>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</si>
  <si>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</si>
  <si>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</si>
  <si>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</si>
  <si>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</si>
  <si>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</si>
  <si>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</si>
  <si>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</si>
  <si>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</si>
  <si>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</si>
  <si>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</si>
  <si>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</si>
  <si>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</si>
  <si>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</si>
  <si>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</si>
  <si>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</si>
  <si>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</si>
  <si>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</si>
  <si>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</si>
  <si>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</si>
  <si>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</si>
  <si>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</si>
  <si>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</si>
  <si>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</si>
  <si>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</si>
  <si>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</si>
  <si>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</si>
  <si>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</si>
  <si>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</si>
  <si>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</si>
  <si>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</si>
  <si>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</si>
  <si>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</si>
  <si>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</si>
  <si>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</si>
  <si>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</si>
  <si>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</si>
  <si>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</si>
  <si>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</si>
  <si>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</si>
  <si>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</si>
  <si>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</si>
  <si>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</si>
  <si>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</si>
  <si>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</si>
  <si>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</si>
  <si>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</si>
  <si>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</si>
  <si>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</si>
  <si>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</si>
  <si>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</si>
  <si>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</si>
  <si>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</si>
  <si>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</si>
  <si>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</si>
  <si>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</si>
  <si>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</si>
  <si>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</si>
  <si>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</si>
  <si>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</si>
  <si>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</si>
  <si>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</si>
  <si>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</si>
  <si>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</si>
  <si>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</si>
  <si>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</si>
  <si>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</si>
  <si>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</si>
  <si>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</si>
  <si>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</si>
  <si>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</si>
  <si>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</si>
  <si>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</si>
  <si>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</si>
  <si>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</si>
  <si>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</si>
  <si>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</si>
  <si>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</si>
  <si>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</si>
  <si>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</si>
  <si>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</si>
  <si>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</si>
  <si>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</si>
  <si>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</si>
  <si>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</si>
  <si>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</si>
  <si>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</si>
  <si>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</si>
  <si>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</si>
  <si>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</si>
  <si>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</si>
  <si>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</si>
  <si>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</si>
  <si>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</si>
  <si>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</si>
  <si>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</si>
  <si>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</si>
  <si>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</si>
  <si>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</si>
  <si>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</si>
  <si>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</si>
  <si>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</si>
  <si>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</si>
  <si>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</si>
  <si>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</si>
  <si>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</si>
  <si>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</si>
  <si>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</si>
  <si>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</si>
  <si>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</si>
  <si>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</si>
  <si>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</si>
  <si>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</si>
  <si>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</si>
  <si>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</si>
  <si>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</si>
  <si>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</si>
  <si>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</si>
  <si>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</si>
  <si>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</si>
  <si>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</si>
  <si>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</si>
  <si>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</si>
  <si>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</si>
  <si>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</si>
  <si>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</si>
  <si>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</si>
  <si>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</si>
  <si>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</si>
  <si>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</si>
  <si>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</si>
  <si>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</si>
  <si>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</si>
  <si>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</si>
  <si>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</si>
  <si>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</si>
  <si>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</si>
  <si>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</si>
  <si>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</si>
  <si>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</si>
  <si>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</si>
  <si>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</si>
  <si>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</si>
  <si>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</si>
  <si>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</si>
  <si>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</si>
  <si>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</si>
  <si>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</si>
  <si>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</si>
  <si>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</si>
  <si>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</si>
  <si>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</si>
  <si>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</si>
  <si>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</si>
  <si>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</si>
  <si>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</si>
  <si>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</si>
  <si>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</si>
  <si>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</si>
  <si>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</si>
  <si>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</si>
  <si>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</si>
  <si>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</si>
  <si>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</si>
  <si>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</si>
  <si>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</si>
  <si>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</si>
  <si>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</si>
  <si>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</si>
  <si>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</si>
  <si>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</si>
  <si>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</si>
  <si>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</si>
  <si>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</si>
  <si>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</si>
  <si>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</si>
  <si>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</si>
  <si>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</si>
  <si>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</si>
  <si>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</si>
  <si>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</si>
  <si>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</si>
  <si>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</si>
  <si>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</si>
  <si>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</si>
  <si>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</si>
  <si>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</si>
  <si>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</si>
  <si>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</si>
  <si>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</si>
  <si>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</si>
  <si>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</si>
  <si>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</si>
  <si>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</si>
  <si>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</si>
  <si>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</si>
  <si>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</si>
  <si>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</si>
  <si>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</si>
  <si>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</si>
  <si>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</si>
  <si>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</si>
  <si>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</si>
  <si>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</si>
  <si>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</si>
  <si>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</si>
  <si>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</si>
  <si>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</si>
  <si>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</si>
  <si>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</si>
  <si>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</si>
  <si>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</si>
  <si>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</si>
  <si>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</si>
  <si>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</si>
  <si>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</si>
  <si>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</si>
  <si>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</si>
  <si>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</si>
  <si>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</si>
  <si>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</si>
  <si>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</si>
  <si>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</si>
  <si>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</si>
  <si>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</si>
  <si>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</si>
  <si>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</si>
  <si>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</si>
  <si>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</si>
  <si>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</si>
  <si>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</si>
  <si>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</si>
  <si>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</si>
  <si>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</si>
  <si>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</si>
  <si>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</si>
  <si>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</si>
  <si>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</si>
  <si>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</si>
  <si>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</si>
  <si>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</si>
  <si>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</si>
  <si>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</si>
  <si>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</si>
  <si>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</si>
  <si>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</si>
  <si>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</si>
  <si>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</si>
  <si>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</si>
  <si>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</si>
  <si>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</si>
  <si>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</si>
  <si>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</si>
  <si>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</si>
  <si>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</si>
  <si>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</si>
  <si>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</si>
  <si>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</si>
  <si>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</si>
  <si>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</si>
  <si>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</si>
  <si>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</si>
  <si>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</si>
  <si>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</si>
  <si>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</si>
  <si>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</si>
  <si>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</si>
  <si>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</si>
  <si>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</si>
  <si>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</si>
  <si>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</si>
  <si>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</si>
  <si>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</si>
  <si>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</si>
  <si>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</si>
  <si>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</si>
  <si>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</si>
  <si>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</si>
  <si>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</si>
  <si>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</si>
  <si>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</si>
  <si>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</si>
  <si>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</si>
  <si>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</si>
  <si>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</si>
  <si>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</si>
  <si>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</si>
  <si>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</si>
  <si>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</si>
  <si>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</si>
  <si>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</si>
  <si>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</si>
  <si>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</si>
  <si>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</si>
  <si>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</si>
  <si>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</si>
  <si>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</si>
  <si>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</si>
  <si>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</si>
  <si>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</si>
  <si>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</si>
  <si>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</si>
  <si>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</si>
  <si>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</si>
  <si>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</si>
  <si>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</si>
  <si>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</si>
  <si>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</si>
  <si>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</si>
  <si>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</si>
  <si>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</si>
  <si>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</si>
  <si>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</si>
  <si>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</si>
  <si>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</si>
  <si>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</si>
  <si>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</si>
  <si>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</si>
  <si>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</si>
  <si>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</si>
  <si>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</si>
  <si>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</si>
  <si>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</si>
  <si>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</si>
  <si>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</si>
  <si>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</si>
  <si>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</si>
  <si>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</si>
  <si>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</si>
  <si>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</si>
  <si>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</si>
  <si>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</si>
  <si>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</si>
  <si>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</si>
  <si>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</si>
  <si>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</si>
  <si>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</si>
  <si>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</si>
  <si>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</si>
  <si>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</si>
  <si>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</si>
  <si>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</si>
  <si>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</si>
  <si>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</si>
  <si>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</si>
  <si>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</si>
  <si>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</si>
  <si>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</si>
  <si>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</si>
  <si>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</si>
  <si>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</si>
  <si>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</si>
  <si>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</si>
  <si>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</si>
  <si>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</si>
  <si>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</si>
  <si>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</si>
  <si>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</si>
  <si>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</si>
  <si>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</si>
  <si>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</si>
  <si>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</si>
  <si>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</si>
  <si>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</si>
  <si>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</si>
  <si>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</si>
  <si>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</si>
  <si>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</si>
  <si>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</si>
  <si>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</si>
  <si>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</si>
  <si>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</si>
  <si>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</si>
  <si>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</si>
  <si>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</si>
  <si>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</si>
  <si>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</si>
  <si>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</si>
  <si>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</si>
  <si>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</si>
  <si>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</si>
  <si>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</si>
  <si>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</si>
  <si>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</si>
  <si>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</si>
  <si>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</si>
  <si>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</si>
  <si>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</si>
  <si>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</si>
  <si>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</si>
  <si>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</si>
  <si>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</si>
  <si>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</si>
  <si>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</si>
  <si>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</si>
  <si>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</si>
  <si>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</si>
  <si>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</si>
  <si>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</si>
  <si>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</si>
  <si>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</si>
  <si>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</si>
  <si>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</si>
  <si>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</si>
  <si>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</si>
  <si>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</si>
  <si>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</si>
  <si>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</si>
  <si>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</si>
  <si>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</si>
  <si>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</si>
  <si>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</si>
  <si>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</si>
  <si>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</si>
  <si>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</si>
  <si>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</si>
  <si>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</si>
  <si>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</si>
  <si>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</si>
  <si>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</si>
  <si>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</si>
  <si>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</si>
  <si>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</si>
  <si>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</si>
  <si>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</si>
  <si>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</si>
  <si>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</si>
  <si>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</si>
  <si>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</si>
  <si>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</si>
  <si>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</si>
  <si>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</si>
  <si>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</si>
  <si>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</si>
  <si>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</si>
  <si>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</si>
  <si>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</si>
  <si>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</si>
  <si>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</si>
  <si>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</si>
  <si>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</si>
  <si>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</si>
  <si>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</si>
  <si>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</si>
  <si>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</si>
  <si>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</si>
  <si>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</si>
  <si>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</si>
  <si>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</si>
  <si>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</si>
  <si>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</si>
  <si>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</si>
  <si>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</si>
  <si>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</si>
  <si>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</si>
  <si>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</si>
  <si>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</si>
  <si>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</si>
  <si>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</si>
  <si>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</si>
  <si>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</si>
  <si>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</si>
  <si>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</si>
  <si>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</si>
  <si>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</si>
  <si>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</si>
  <si>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</si>
  <si>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</si>
  <si>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</si>
  <si>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</si>
  <si>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</si>
  <si>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</si>
  <si>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</si>
  <si>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</si>
  <si>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</si>
  <si>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</si>
  <si>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</si>
  <si>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</si>
  <si>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</si>
  <si>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</si>
  <si>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</si>
  <si>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</si>
  <si>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</si>
  <si>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</si>
  <si>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</si>
  <si>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</si>
  <si>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</si>
  <si>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</si>
  <si>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</si>
  <si>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</si>
  <si>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</si>
  <si>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</si>
  <si>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</si>
  <si>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</si>
  <si>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</si>
  <si>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</si>
  <si>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</si>
  <si>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</si>
  <si>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</si>
  <si>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</si>
  <si>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</si>
  <si>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</si>
  <si>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</si>
  <si>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</si>
  <si>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</si>
  <si>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</si>
  <si>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</si>
  <si>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</si>
  <si>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</si>
  <si>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</si>
  <si>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</si>
  <si>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</si>
  <si>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</si>
  <si>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</si>
  <si>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</si>
  <si>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</si>
  <si>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</si>
  <si>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</si>
  <si>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</si>
  <si>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</si>
  <si>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</si>
  <si>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</si>
  <si>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</si>
  <si>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</si>
  <si>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</si>
  <si>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</si>
  <si>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</si>
  <si>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</si>
  <si>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</si>
  <si>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</si>
  <si>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</si>
  <si>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</si>
  <si>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</si>
  <si>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</si>
  <si>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</si>
  <si>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</si>
  <si>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</si>
  <si>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</si>
  <si>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</si>
  <si>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</si>
  <si>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</si>
  <si>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</si>
  <si>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</si>
  <si>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</si>
  <si>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</si>
  <si>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</si>
  <si>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</si>
  <si>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</si>
  <si>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</si>
  <si>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</si>
  <si>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</si>
  <si>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</si>
  <si>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</si>
  <si>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</si>
  <si>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</si>
  <si>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</si>
  <si>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</si>
  <si>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</si>
  <si>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</si>
  <si>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</si>
  <si>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</si>
  <si>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</si>
  <si>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</si>
  <si>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</si>
  <si>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</si>
  <si>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</si>
  <si>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</si>
  <si>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</si>
  <si>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</si>
  <si>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</si>
  <si>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</si>
  <si>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</si>
  <si>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</si>
  <si>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</si>
  <si>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</si>
  <si>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</si>
  <si>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</si>
  <si>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</si>
  <si>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</si>
  <si>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</si>
  <si>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</si>
  <si>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</si>
  <si>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</si>
  <si>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</si>
  <si>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</si>
  <si>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</si>
  <si>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</si>
  <si>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</si>
  <si>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</si>
  <si>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</si>
  <si>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</si>
  <si>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</si>
  <si>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</si>
  <si>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</si>
  <si>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</si>
  <si>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</si>
  <si>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</si>
  <si>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</si>
  <si>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</si>
  <si>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</si>
  <si>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</si>
  <si>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</si>
  <si>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</si>
  <si>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</si>
  <si>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</si>
  <si>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</si>
  <si>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</si>
  <si>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</si>
  <si>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</si>
  <si>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13029</t>
  </si>
  <si>
    <t>OLEN</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</si>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</sst>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13029</v>
      </c>
      <c r="B6" s="397"/>
      <c r="C6" s="398"/>
    </row>
    <row r="7" spans="1:7" s="395" customFormat="1" ht="15.75" customHeight="1">
      <c r="A7" s="399" t="str">
        <f>txtMunicipality</f>
        <v>OLEN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4895</v>
      </c>
      <c r="C9" s="338">
        <v>5278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656</v>
      </c>
    </row>
    <row r="15" spans="1:6">
      <c r="A15" s="1205" t="s">
        <v>184</v>
      </c>
      <c r="B15" s="335">
        <v>312</v>
      </c>
    </row>
    <row r="16" spans="1:6">
      <c r="A16" s="1205" t="s">
        <v>6</v>
      </c>
      <c r="B16" s="335">
        <v>502</v>
      </c>
    </row>
    <row r="17" spans="1:6">
      <c r="A17" s="1205" t="s">
        <v>7</v>
      </c>
      <c r="B17" s="335">
        <v>71</v>
      </c>
    </row>
    <row r="18" spans="1:6">
      <c r="A18" s="1205" t="s">
        <v>8</v>
      </c>
      <c r="B18" s="335">
        <v>269</v>
      </c>
    </row>
    <row r="19" spans="1:6">
      <c r="A19" s="1205" t="s">
        <v>9</v>
      </c>
      <c r="B19" s="335">
        <v>219</v>
      </c>
    </row>
    <row r="20" spans="1:6">
      <c r="A20" s="1205" t="s">
        <v>10</v>
      </c>
      <c r="B20" s="335">
        <v>114</v>
      </c>
    </row>
    <row r="21" spans="1:6">
      <c r="A21" s="1205" t="s">
        <v>11</v>
      </c>
      <c r="B21" s="335">
        <v>456</v>
      </c>
    </row>
    <row r="22" spans="1:6">
      <c r="A22" s="1205" t="s">
        <v>12</v>
      </c>
      <c r="B22" s="335">
        <v>2054</v>
      </c>
    </row>
    <row r="23" spans="1:6">
      <c r="A23" s="1205" t="s">
        <v>13</v>
      </c>
      <c r="B23" s="335">
        <v>59</v>
      </c>
    </row>
    <row r="24" spans="1:6">
      <c r="A24" s="1205" t="s">
        <v>14</v>
      </c>
      <c r="B24" s="335">
        <v>2</v>
      </c>
    </row>
    <row r="25" spans="1:6">
      <c r="A25" s="1205" t="s">
        <v>15</v>
      </c>
      <c r="B25" s="335">
        <v>152</v>
      </c>
    </row>
    <row r="26" spans="1:6">
      <c r="A26" s="1205" t="s">
        <v>16</v>
      </c>
      <c r="B26" s="335">
        <v>0</v>
      </c>
    </row>
    <row r="27" spans="1:6">
      <c r="A27" s="1205" t="s">
        <v>17</v>
      </c>
      <c r="B27" s="335">
        <v>0</v>
      </c>
    </row>
    <row r="28" spans="1:6" s="341" customFormat="1">
      <c r="A28" s="1206" t="s">
        <v>18</v>
      </c>
      <c r="B28" s="1206">
        <v>0</v>
      </c>
    </row>
    <row r="29" spans="1:6">
      <c r="A29" s="1206" t="s">
        <v>873</v>
      </c>
      <c r="B29" s="1206">
        <v>74</v>
      </c>
      <c r="C29" s="341"/>
      <c r="D29" s="341"/>
      <c r="E29" s="341"/>
      <c r="F29" s="341"/>
    </row>
    <row r="30" spans="1:6">
      <c r="A30" s="1201" t="s">
        <v>874</v>
      </c>
      <c r="B30" s="1201">
        <v>32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9699.6230880153998</v>
      </c>
    </row>
    <row r="37" spans="1:6">
      <c r="A37" s="1205" t="s">
        <v>25</v>
      </c>
      <c r="B37" s="1205" t="s">
        <v>28</v>
      </c>
      <c r="C37" s="335">
        <v>0</v>
      </c>
      <c r="D37" s="335">
        <v>0</v>
      </c>
      <c r="E37" s="335">
        <v>0</v>
      </c>
      <c r="F37" s="335">
        <v>0</v>
      </c>
    </row>
    <row r="38" spans="1:6">
      <c r="A38" s="1205" t="s">
        <v>25</v>
      </c>
      <c r="B38" s="1205" t="s">
        <v>29</v>
      </c>
      <c r="C38" s="335">
        <v>0</v>
      </c>
      <c r="D38" s="335">
        <v>0</v>
      </c>
      <c r="E38" s="335">
        <v>1</v>
      </c>
      <c r="F38" s="335">
        <v>2181.1006248344002</v>
      </c>
    </row>
    <row r="39" spans="1:6">
      <c r="A39" s="1205" t="s">
        <v>30</v>
      </c>
      <c r="B39" s="1205" t="s">
        <v>31</v>
      </c>
      <c r="C39" s="335">
        <v>3204</v>
      </c>
      <c r="D39" s="335">
        <v>60269503.747370698</v>
      </c>
      <c r="E39" s="335">
        <v>4822</v>
      </c>
      <c r="F39" s="335">
        <v>18210184.052455999</v>
      </c>
    </row>
    <row r="40" spans="1:6">
      <c r="A40" s="1205" t="s">
        <v>30</v>
      </c>
      <c r="B40" s="1205" t="s">
        <v>29</v>
      </c>
      <c r="C40" s="335">
        <v>0</v>
      </c>
      <c r="D40" s="335">
        <v>0</v>
      </c>
      <c r="E40" s="335">
        <v>0</v>
      </c>
      <c r="F40" s="335">
        <v>0</v>
      </c>
    </row>
    <row r="41" spans="1:6">
      <c r="A41" s="1205" t="s">
        <v>32</v>
      </c>
      <c r="B41" s="1205" t="s">
        <v>33</v>
      </c>
      <c r="C41" s="335">
        <v>35</v>
      </c>
      <c r="D41" s="335">
        <v>1997280.8854249499</v>
      </c>
      <c r="E41" s="335">
        <v>81</v>
      </c>
      <c r="F41" s="335">
        <v>2084950.9789050601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108508.25166792401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136484.36252229399</v>
      </c>
    </row>
    <row r="48" spans="1:6">
      <c r="A48" s="1205" t="s">
        <v>32</v>
      </c>
      <c r="B48" s="1205" t="s">
        <v>29</v>
      </c>
      <c r="C48" s="335">
        <v>36</v>
      </c>
      <c r="D48" s="335">
        <v>101459461.69940899</v>
      </c>
      <c r="E48" s="335">
        <v>45</v>
      </c>
      <c r="F48" s="335">
        <v>45486234.129601099</v>
      </c>
    </row>
    <row r="49" spans="1:6">
      <c r="A49" s="1205" t="s">
        <v>32</v>
      </c>
      <c r="B49" s="1205" t="s">
        <v>40</v>
      </c>
      <c r="C49" s="335">
        <v>0</v>
      </c>
      <c r="D49" s="335">
        <v>0</v>
      </c>
      <c r="E49" s="335">
        <v>0</v>
      </c>
      <c r="F49" s="335">
        <v>0</v>
      </c>
    </row>
    <row r="50" spans="1:6">
      <c r="A50" s="1205" t="s">
        <v>32</v>
      </c>
      <c r="B50" s="1205" t="s">
        <v>41</v>
      </c>
      <c r="C50" s="335">
        <v>8</v>
      </c>
      <c r="D50" s="335">
        <v>17816722.718233801</v>
      </c>
      <c r="E50" s="335">
        <v>16</v>
      </c>
      <c r="F50" s="335">
        <v>25813334.3963219</v>
      </c>
    </row>
    <row r="51" spans="1:6">
      <c r="A51" s="1205" t="s">
        <v>42</v>
      </c>
      <c r="B51" s="1205" t="s">
        <v>43</v>
      </c>
      <c r="C51" s="335">
        <v>3</v>
      </c>
      <c r="D51" s="335">
        <v>46933.704274776799</v>
      </c>
      <c r="E51" s="335">
        <v>17</v>
      </c>
      <c r="F51" s="335">
        <v>285907.66879890801</v>
      </c>
    </row>
    <row r="52" spans="1:6">
      <c r="A52" s="1205" t="s">
        <v>42</v>
      </c>
      <c r="B52" s="1205" t="s">
        <v>29</v>
      </c>
      <c r="C52" s="335">
        <v>4</v>
      </c>
      <c r="D52" s="335">
        <v>23086153.714956701</v>
      </c>
      <c r="E52" s="335">
        <v>8</v>
      </c>
      <c r="F52" s="335">
        <v>234268.38777647301</v>
      </c>
    </row>
    <row r="53" spans="1:6">
      <c r="A53" s="1205" t="s">
        <v>44</v>
      </c>
      <c r="B53" s="1205" t="s">
        <v>45</v>
      </c>
      <c r="C53" s="335">
        <v>69</v>
      </c>
      <c r="D53" s="335">
        <v>2071255.6940836899</v>
      </c>
      <c r="E53" s="335">
        <v>126</v>
      </c>
      <c r="F53" s="335">
        <v>700420.95682169998</v>
      </c>
    </row>
    <row r="54" spans="1:6">
      <c r="A54" s="1205" t="s">
        <v>46</v>
      </c>
      <c r="B54" s="1205" t="s">
        <v>47</v>
      </c>
      <c r="C54" s="335">
        <v>0</v>
      </c>
      <c r="D54" s="335">
        <v>0</v>
      </c>
      <c r="E54" s="335">
        <v>1</v>
      </c>
      <c r="F54" s="335">
        <v>642854</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13</v>
      </c>
      <c r="D57" s="335">
        <v>402428.55478742498</v>
      </c>
      <c r="E57" s="335">
        <v>71</v>
      </c>
      <c r="F57" s="335">
        <v>1088742.42495625</v>
      </c>
    </row>
    <row r="58" spans="1:6">
      <c r="A58" s="1205" t="s">
        <v>49</v>
      </c>
      <c r="B58" s="1205" t="s">
        <v>51</v>
      </c>
      <c r="C58" s="335">
        <v>6</v>
      </c>
      <c r="D58" s="335">
        <v>264718.48189636902</v>
      </c>
      <c r="E58" s="335">
        <v>10</v>
      </c>
      <c r="F58" s="335">
        <v>69535.489785476093</v>
      </c>
    </row>
    <row r="59" spans="1:6">
      <c r="A59" s="1205" t="s">
        <v>49</v>
      </c>
      <c r="B59" s="1205" t="s">
        <v>52</v>
      </c>
      <c r="C59" s="335">
        <v>58</v>
      </c>
      <c r="D59" s="335">
        <v>5810280.3762351396</v>
      </c>
      <c r="E59" s="335">
        <v>140</v>
      </c>
      <c r="F59" s="335">
        <v>7757816.7193186702</v>
      </c>
    </row>
    <row r="60" spans="1:6">
      <c r="A60" s="1205" t="s">
        <v>49</v>
      </c>
      <c r="B60" s="1205" t="s">
        <v>53</v>
      </c>
      <c r="C60" s="335">
        <v>42</v>
      </c>
      <c r="D60" s="335">
        <v>2698629.7627782999</v>
      </c>
      <c r="E60" s="335">
        <v>59</v>
      </c>
      <c r="F60" s="335">
        <v>2787860.9191854699</v>
      </c>
    </row>
    <row r="61" spans="1:6">
      <c r="A61" s="1205" t="s">
        <v>49</v>
      </c>
      <c r="B61" s="1205" t="s">
        <v>54</v>
      </c>
      <c r="C61" s="335">
        <v>55</v>
      </c>
      <c r="D61" s="335">
        <v>3368314.1199804801</v>
      </c>
      <c r="E61" s="335">
        <v>121</v>
      </c>
      <c r="F61" s="335">
        <v>2423728.8425616999</v>
      </c>
    </row>
    <row r="62" spans="1:6">
      <c r="A62" s="1205" t="s">
        <v>49</v>
      </c>
      <c r="B62" s="1205" t="s">
        <v>55</v>
      </c>
      <c r="C62" s="335">
        <v>0</v>
      </c>
      <c r="D62" s="335">
        <v>0</v>
      </c>
      <c r="E62" s="335">
        <v>4</v>
      </c>
      <c r="F62" s="335">
        <v>89833.835023395004</v>
      </c>
    </row>
    <row r="63" spans="1:6">
      <c r="A63" s="1205" t="s">
        <v>49</v>
      </c>
      <c r="B63" s="1205" t="s">
        <v>29</v>
      </c>
      <c r="C63" s="335">
        <v>92</v>
      </c>
      <c r="D63" s="335">
        <v>5254684.0864151996</v>
      </c>
      <c r="E63" s="335">
        <v>104</v>
      </c>
      <c r="F63" s="335">
        <v>7862384.2710071802</v>
      </c>
    </row>
    <row r="64" spans="1:6">
      <c r="A64" s="1205" t="s">
        <v>56</v>
      </c>
      <c r="B64" s="1205" t="s">
        <v>57</v>
      </c>
      <c r="C64" s="335">
        <v>0</v>
      </c>
      <c r="D64" s="335">
        <v>0</v>
      </c>
      <c r="E64" s="335">
        <v>0</v>
      </c>
      <c r="F64" s="335">
        <v>0</v>
      </c>
    </row>
    <row r="65" spans="1:6">
      <c r="A65" s="1205" t="s">
        <v>56</v>
      </c>
      <c r="B65" s="1205" t="s">
        <v>29</v>
      </c>
      <c r="C65" s="335">
        <v>0</v>
      </c>
      <c r="D65" s="335">
        <v>0</v>
      </c>
      <c r="E65" s="335">
        <v>1</v>
      </c>
      <c r="F65" s="335">
        <v>11098</v>
      </c>
    </row>
    <row r="66" spans="1:6">
      <c r="A66" s="1205" t="s">
        <v>56</v>
      </c>
      <c r="B66" s="1205" t="s">
        <v>58</v>
      </c>
      <c r="C66" s="335">
        <v>0</v>
      </c>
      <c r="D66" s="335">
        <v>0</v>
      </c>
      <c r="E66" s="335">
        <v>0</v>
      </c>
      <c r="F66" s="335">
        <v>0</v>
      </c>
    </row>
    <row r="67" spans="1:6">
      <c r="A67" s="1206" t="s">
        <v>56</v>
      </c>
      <c r="B67" s="1206" t="s">
        <v>59</v>
      </c>
      <c r="C67" s="335">
        <v>0</v>
      </c>
      <c r="D67" s="335">
        <v>0</v>
      </c>
      <c r="E67" s="335">
        <v>3</v>
      </c>
      <c r="F67" s="335">
        <v>8465.8033216699005</v>
      </c>
    </row>
    <row r="68" spans="1:6">
      <c r="A68" s="1201" t="s">
        <v>56</v>
      </c>
      <c r="B68" s="1201" t="s">
        <v>60</v>
      </c>
      <c r="C68" s="335">
        <v>7</v>
      </c>
      <c r="D68" s="335">
        <v>276823.41186673398</v>
      </c>
      <c r="E68" s="335">
        <v>11</v>
      </c>
      <c r="F68" s="335">
        <v>215091.242841862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75043598</v>
      </c>
      <c r="E73" s="335">
        <v>78206683.213885143</v>
      </c>
    </row>
    <row r="74" spans="1:6">
      <c r="A74" s="1205" t="s">
        <v>64</v>
      </c>
      <c r="B74" s="1205" t="s">
        <v>772</v>
      </c>
      <c r="C74" s="1216" t="s">
        <v>766</v>
      </c>
      <c r="D74" s="335">
        <v>5715304.422696271</v>
      </c>
      <c r="E74" s="335">
        <v>6185316.5141533529</v>
      </c>
    </row>
    <row r="75" spans="1:6">
      <c r="A75" s="1205" t="s">
        <v>65</v>
      </c>
      <c r="B75" s="1205" t="s">
        <v>771</v>
      </c>
      <c r="C75" s="1216" t="s">
        <v>767</v>
      </c>
      <c r="D75" s="335">
        <v>7545423</v>
      </c>
      <c r="E75" s="335">
        <v>7863466.8489622651</v>
      </c>
    </row>
    <row r="76" spans="1:6">
      <c r="A76" s="1205" t="s">
        <v>65</v>
      </c>
      <c r="B76" s="1205" t="s">
        <v>772</v>
      </c>
      <c r="C76" s="1216" t="s">
        <v>768</v>
      </c>
      <c r="D76" s="335">
        <v>449815.42269627075</v>
      </c>
      <c r="E76" s="335">
        <v>498588.05975831591</v>
      </c>
    </row>
    <row r="77" spans="1:6">
      <c r="A77" s="1205" t="s">
        <v>66</v>
      </c>
      <c r="B77" s="1205" t="s">
        <v>771</v>
      </c>
      <c r="C77" s="1216" t="s">
        <v>769</v>
      </c>
      <c r="D77" s="335">
        <v>63002911</v>
      </c>
      <c r="E77" s="335">
        <v>71747402.377143919</v>
      </c>
    </row>
    <row r="78" spans="1:6">
      <c r="A78" s="1201" t="s">
        <v>66</v>
      </c>
      <c r="B78" s="1201" t="s">
        <v>772</v>
      </c>
      <c r="C78" s="1201" t="s">
        <v>770</v>
      </c>
      <c r="D78" s="1201">
        <v>9083537</v>
      </c>
      <c r="E78" s="1201">
        <v>11097948.033290958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190263.15460745853</v>
      </c>
      <c r="C83" s="335">
        <v>179102.5965422937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2280.805443528418</v>
      </c>
    </row>
    <row r="92" spans="1:6">
      <c r="A92" s="1201" t="s">
        <v>69</v>
      </c>
      <c r="B92" s="338">
        <v>4571.2261485343079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1860</v>
      </c>
    </row>
    <row r="98" spans="1:6">
      <c r="A98" s="1205" t="s">
        <v>72</v>
      </c>
      <c r="B98" s="335">
        <v>2</v>
      </c>
    </row>
    <row r="99" spans="1:6">
      <c r="A99" s="1205" t="s">
        <v>73</v>
      </c>
      <c r="B99" s="335">
        <v>106</v>
      </c>
    </row>
    <row r="100" spans="1:6">
      <c r="A100" s="1205" t="s">
        <v>74</v>
      </c>
      <c r="B100" s="335">
        <v>136</v>
      </c>
    </row>
    <row r="101" spans="1:6">
      <c r="A101" s="1205" t="s">
        <v>75</v>
      </c>
      <c r="B101" s="335">
        <v>70</v>
      </c>
    </row>
    <row r="102" spans="1:6">
      <c r="A102" s="1205" t="s">
        <v>76</v>
      </c>
      <c r="B102" s="335">
        <v>52</v>
      </c>
    </row>
    <row r="103" spans="1:6">
      <c r="A103" s="1205" t="s">
        <v>77</v>
      </c>
      <c r="B103" s="335">
        <v>136</v>
      </c>
    </row>
    <row r="104" spans="1:6">
      <c r="A104" s="1205" t="s">
        <v>78</v>
      </c>
      <c r="B104" s="335">
        <v>1749</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16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107</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118401.49743183935</v>
      </c>
      <c r="C3" s="44" t="s">
        <v>170</v>
      </c>
      <c r="D3" s="44"/>
      <c r="E3" s="157"/>
      <c r="F3" s="44"/>
      <c r="G3" s="44"/>
      <c r="H3" s="44"/>
      <c r="I3" s="44"/>
      <c r="J3" s="44"/>
      <c r="K3" s="97"/>
    </row>
    <row r="4" spans="1:11">
      <c r="A4" s="365" t="s">
        <v>171</v>
      </c>
      <c r="B4" s="50">
        <f>IF(ISERROR('SEAP template'!B69),0,'SEAP template'!B69)</f>
        <v>14187.031592062725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0.20716438519115288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2138.8235294117649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9000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642.85400000000004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642.85400000000004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0.20716438519115288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133.17645367767341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18210.184052455999</v>
      </c>
      <c r="C5" s="18">
        <f>IF(ISERROR('Eigen informatie GS &amp; warmtenet'!B57),0,'Eigen informatie GS &amp; warmtenet'!B57)</f>
        <v>0</v>
      </c>
      <c r="D5" s="31">
        <f>(SUM(HH_hh_gas_kWh,HH_rest_gas_kWh)/1000)*0.902</f>
        <v>54363.092380128372</v>
      </c>
      <c r="E5" s="18">
        <f>B46*B57</f>
        <v>8474.9849656632396</v>
      </c>
      <c r="F5" s="18">
        <f>B51*B62</f>
        <v>10647.69358583024</v>
      </c>
      <c r="G5" s="19"/>
      <c r="H5" s="18"/>
      <c r="I5" s="18"/>
      <c r="J5" s="18">
        <f>B50*B61+C50*C61</f>
        <v>50.491230114415956</v>
      </c>
      <c r="K5" s="18"/>
      <c r="L5" s="18"/>
      <c r="M5" s="18"/>
      <c r="N5" s="18">
        <f>B48*B59+C48*C59</f>
        <v>18175.482370813086</v>
      </c>
      <c r="O5" s="18">
        <f>B69*B70*B71</f>
        <v>192.29000000000002</v>
      </c>
      <c r="P5" s="18">
        <f>B77*B78*B79/1000-B77*B78*B79/1000/B80</f>
        <v>343.2</v>
      </c>
    </row>
    <row r="6" spans="1:16">
      <c r="A6" s="17" t="s">
        <v>639</v>
      </c>
      <c r="B6" s="831">
        <f>kWh_PV_kleiner_dan_10kW</f>
        <v>2280.805443528418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20490.989495984417</v>
      </c>
      <c r="C8" s="22">
        <f>C5</f>
        <v>0</v>
      </c>
      <c r="D8" s="22">
        <f>D5</f>
        <v>54363.092380128372</v>
      </c>
      <c r="E8" s="22">
        <f>E5</f>
        <v>8474.9849656632396</v>
      </c>
      <c r="F8" s="22">
        <f>F5</f>
        <v>10647.69358583024</v>
      </c>
      <c r="G8" s="22"/>
      <c r="H8" s="22"/>
      <c r="I8" s="22"/>
      <c r="J8" s="22">
        <f>J5</f>
        <v>50.491230114415956</v>
      </c>
      <c r="K8" s="22"/>
      <c r="L8" s="22">
        <f>L5</f>
        <v>0</v>
      </c>
      <c r="M8" s="22">
        <f>M5</f>
        <v>0</v>
      </c>
      <c r="N8" s="22">
        <f>N5</f>
        <v>18175.482370813086</v>
      </c>
      <c r="O8" s="22">
        <f>O5</f>
        <v>192.29000000000002</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0.20716438519115288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4245.0032408939833</v>
      </c>
      <c r="C12" s="24">
        <f ca="1">C10*C8</f>
        <v>0</v>
      </c>
      <c r="D12" s="24">
        <f>D8*D10</f>
        <v>10981.344660785931</v>
      </c>
      <c r="E12" s="24">
        <f>E10*E8</f>
        <v>1923.8215872055555</v>
      </c>
      <c r="F12" s="24">
        <f>F10*F8</f>
        <v>2842.9341874166744</v>
      </c>
      <c r="G12" s="24"/>
      <c r="H12" s="24"/>
      <c r="I12" s="24"/>
      <c r="J12" s="24">
        <f>J10*J8</f>
        <v>17.873895460503249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1860</v>
      </c>
      <c r="C18" s="169" t="s">
        <v>111</v>
      </c>
      <c r="D18" s="231"/>
      <c r="E18" s="16"/>
    </row>
    <row r="19" spans="1:7">
      <c r="A19" s="174" t="s">
        <v>72</v>
      </c>
      <c r="B19" s="38">
        <f>aantalw2001_ander</f>
        <v>2</v>
      </c>
      <c r="C19" s="169" t="s">
        <v>111</v>
      </c>
      <c r="D19" s="232"/>
      <c r="E19" s="16"/>
    </row>
    <row r="20" spans="1:7">
      <c r="A20" s="174" t="s">
        <v>73</v>
      </c>
      <c r="B20" s="38">
        <f>aantalw2001_propaan</f>
        <v>106</v>
      </c>
      <c r="C20" s="170">
        <f>IF(ISERROR(B20/SUM($B$20,$B$21,$B$22)*100),0,B20/SUM($B$20,$B$21,$B$22)*100)</f>
        <v>33.974358974358978</v>
      </c>
      <c r="D20" s="232"/>
      <c r="E20" s="16"/>
    </row>
    <row r="21" spans="1:7">
      <c r="A21" s="174" t="s">
        <v>74</v>
      </c>
      <c r="B21" s="38">
        <f>aantalw2001_elektriciteit</f>
        <v>136</v>
      </c>
      <c r="C21" s="170">
        <f>IF(ISERROR(B21/SUM($B$20,$B$21,$B$22)*100),0,B21/SUM($B$20,$B$21,$B$22)*100)</f>
        <v>43.589743589743591</v>
      </c>
      <c r="D21" s="232"/>
      <c r="E21" s="16"/>
    </row>
    <row r="22" spans="1:7">
      <c r="A22" s="174" t="s">
        <v>75</v>
      </c>
      <c r="B22" s="38">
        <f>aantalw2001_hout</f>
        <v>70</v>
      </c>
      <c r="C22" s="170">
        <f>IF(ISERROR(B22/SUM($B$20,$B$21,$B$22)*100),0,B22/SUM($B$20,$B$21,$B$22)*100)</f>
        <v>22.435897435897438</v>
      </c>
      <c r="D22" s="232"/>
      <c r="E22" s="16"/>
    </row>
    <row r="23" spans="1:7">
      <c r="A23" s="174" t="s">
        <v>76</v>
      </c>
      <c r="B23" s="38">
        <f>aantalw2001_niet_gespec</f>
        <v>52</v>
      </c>
      <c r="C23" s="169" t="s">
        <v>111</v>
      </c>
      <c r="D23" s="231"/>
      <c r="E23" s="16"/>
    </row>
    <row r="24" spans="1:7">
      <c r="A24" s="174" t="s">
        <v>77</v>
      </c>
      <c r="B24" s="38">
        <f>aantalw2001_steenkool</f>
        <v>136</v>
      </c>
      <c r="C24" s="169" t="s">
        <v>111</v>
      </c>
      <c r="D24" s="232"/>
      <c r="E24" s="16"/>
    </row>
    <row r="25" spans="1:7">
      <c r="A25" s="174" t="s">
        <v>78</v>
      </c>
      <c r="B25" s="38">
        <f>aantalw2001_stookolie</f>
        <v>1749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4895</v>
      </c>
      <c r="C28" s="37"/>
      <c r="D28" s="231"/>
    </row>
    <row r="29" spans="1:7" s="16" customFormat="1">
      <c r="A29" s="233" t="s">
        <v>666</v>
      </c>
      <c r="B29" s="38">
        <f>SUM(HH_hh_gas_aantal,HH_rest_gas_aantal)</f>
        <v>3204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3204</v>
      </c>
      <c r="C32" s="170">
        <f>IF(ISERROR(B32/SUM($B$32,$B$34,$B$35,$B$36,$B$38,$B$39)*100),0,B32/SUM($B$32,$B$34,$B$35,$B$36,$B$38,$B$39)*100)</f>
        <v>65.696124666803371</v>
      </c>
      <c r="D32" s="236"/>
      <c r="G32" s="16"/>
    </row>
    <row r="33" spans="1:7">
      <c r="A33" s="174" t="s">
        <v>72</v>
      </c>
      <c r="B33" s="35" t="s">
        <v>111</v>
      </c>
      <c r="C33" s="170"/>
      <c r="D33" s="236"/>
      <c r="G33" s="16"/>
    </row>
    <row r="34" spans="1:7">
      <c r="A34" s="174" t="s">
        <v>73</v>
      </c>
      <c r="B34" s="34">
        <f>IF((($B$28-$B$32-$B$39-$B$77-$B$38)*C20/100)&lt;0,0,($B$28-$B$32-$B$39-$B$77-$B$38)*C20/100)</f>
        <v>384.58974358974376</v>
      </c>
      <c r="C34" s="170">
        <f>IF(ISERROR(B34/SUM($B$32,$B$34,$B$35,$B$36,$B$38,$B$39)*100),0,B34/SUM($B$32,$B$34,$B$35,$B$36,$B$38,$B$39)*100)</f>
        <v>7.8857851874050393</v>
      </c>
      <c r="D34" s="236"/>
      <c r="G34" s="16"/>
    </row>
    <row r="35" spans="1:7">
      <c r="A35" s="174" t="s">
        <v>74</v>
      </c>
      <c r="B35" s="34">
        <f>IF((($B$28-$B$32-$B$39-$B$77-$B$38)*C21/100)&lt;0,0,($B$28-$B$32-$B$39-$B$77-$B$38)*C21/100)</f>
        <v>493.43589743589757</v>
      </c>
      <c r="C35" s="170">
        <f>IF(ISERROR(B35/SUM($B$32,$B$34,$B$35,$B$36,$B$38,$B$39)*100),0,B35/SUM($B$32,$B$34,$B$35,$B$36,$B$38,$B$39)*100)</f>
        <v>10.117611183840426</v>
      </c>
      <c r="D35" s="236"/>
      <c r="G35" s="16"/>
    </row>
    <row r="36" spans="1:7">
      <c r="A36" s="174" t="s">
        <v>75</v>
      </c>
      <c r="B36" s="34">
        <f>IF((($B$28-$B$32-$B$39-$B$77-$B$38)*C22/100)&lt;0,0,($B$28-$B$32-$B$39-$B$77-$B$38)*C22/100)</f>
        <v>253.97435897435906</v>
      </c>
      <c r="C36" s="170">
        <f>IF(ISERROR(B36/SUM($B$32,$B$34,$B$35,$B$36,$B$38,$B$39)*100),0,B36/SUM($B$32,$B$34,$B$35,$B$36,$B$38,$B$39)*100)</f>
        <v>5.2075939916825726</v>
      </c>
      <c r="D36" s="236"/>
      <c r="G36" s="16"/>
    </row>
    <row r="37" spans="1:7">
      <c r="A37" s="174" t="s">
        <v>76</v>
      </c>
      <c r="B37" s="35" t="s">
        <v>111</v>
      </c>
      <c r="C37" s="170"/>
      <c r="D37" s="176"/>
      <c r="G37" s="16"/>
    </row>
    <row r="38" spans="1:7">
      <c r="A38" s="174" t="s">
        <v>77</v>
      </c>
      <c r="B38" s="34">
        <f>IF((B24-(B29-B18)*0.1)&lt;0,0,B24-(B29-B18)*0.1)</f>
        <v>1.5999999999999943</v>
      </c>
      <c r="C38" s="170">
        <f>IF(ISERROR(B38/SUM($B$32,$B$34,$B$35,$B$36,$B$38,$B$39)*100),0,B38/SUM($B$32,$B$34,$B$35,$B$36,$B$38,$B$39)*100)</f>
        <v>3.2807053516505931E-2</v>
      </c>
      <c r="D38" s="237"/>
      <c r="G38" s="16"/>
    </row>
    <row r="39" spans="1:7">
      <c r="A39" s="174" t="s">
        <v>78</v>
      </c>
      <c r="B39" s="34">
        <f>IF((B25-(B29-B18))&lt;0,0,B25-(B29-B18)*0.9)</f>
        <v>539.39999999999986</v>
      </c>
      <c r="C39" s="170">
        <f>IF(ISERROR(B39/SUM($B$32,$B$34,$B$35,$B$36,$B$38,$B$39)*100),0,B39/SUM($B$32,$B$34,$B$35,$B$36,$B$38,$B$39)*100)</f>
        <v>11.0600779167521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3204</v>
      </c>
      <c r="C44" s="35" t="s">
        <v>111</v>
      </c>
      <c r="D44" s="177"/>
    </row>
    <row r="45" spans="1:7">
      <c r="A45" s="174" t="s">
        <v>72</v>
      </c>
      <c r="B45" s="34" t="str">
        <f t="shared" si="0"/>
        <v>-</v>
      </c>
      <c r="C45" s="35" t="s">
        <v>111</v>
      </c>
      <c r="D45" s="177"/>
    </row>
    <row r="46" spans="1:7">
      <c r="A46" s="174" t="s">
        <v>73</v>
      </c>
      <c r="B46" s="34">
        <f t="shared" si="0"/>
        <v>384.58974358974376</v>
      </c>
      <c r="C46" s="35" t="s">
        <v>111</v>
      </c>
      <c r="D46" s="177"/>
    </row>
    <row r="47" spans="1:7">
      <c r="A47" s="174" t="s">
        <v>74</v>
      </c>
      <c r="B47" s="34">
        <f t="shared" si="0"/>
        <v>493.43589743589757</v>
      </c>
      <c r="C47" s="35" t="s">
        <v>111</v>
      </c>
      <c r="D47" s="177"/>
    </row>
    <row r="48" spans="1:7">
      <c r="A48" s="174" t="s">
        <v>75</v>
      </c>
      <c r="B48" s="34">
        <f t="shared" si="0"/>
        <v>253.97435897435906</v>
      </c>
      <c r="C48" s="34">
        <f>B48*10</f>
        <v>2539.7435897435907</v>
      </c>
      <c r="D48" s="237"/>
    </row>
    <row r="49" spans="1:6">
      <c r="A49" s="174" t="s">
        <v>76</v>
      </c>
      <c r="B49" s="34" t="str">
        <f t="shared" si="0"/>
        <v>-</v>
      </c>
      <c r="C49" s="35" t="s">
        <v>111</v>
      </c>
      <c r="D49" s="237"/>
    </row>
    <row r="50" spans="1:6">
      <c r="A50" s="174" t="s">
        <v>77</v>
      </c>
      <c r="B50" s="34">
        <f t="shared" si="0"/>
        <v>1.5999999999999943</v>
      </c>
      <c r="C50" s="34">
        <f>B50*2</f>
        <v>3.1999999999999886</v>
      </c>
      <c r="D50" s="237"/>
    </row>
    <row r="51" spans="1:6">
      <c r="A51" s="174" t="s">
        <v>78</v>
      </c>
      <c r="B51" s="34">
        <f t="shared" si="0"/>
        <v>539.39999999999986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22079.90250183814</v>
      </c>
      <c r="C5" s="18">
        <f>IF(ISERROR('Eigen informatie GS &amp; warmtenet'!B58),0,'Eigen informatie GS &amp; warmtenet'!B58)</f>
        <v>0</v>
      </c>
      <c r="D5" s="31">
        <f>SUM(D6:D12)</f>
        <v>16054.747954647808</v>
      </c>
      <c r="E5" s="18">
        <f>SUM(E6:E12)</f>
        <v>267.38939507055704</v>
      </c>
      <c r="F5" s="18">
        <f>SUM(F6:F12)</f>
        <v>4447.191455317683</v>
      </c>
      <c r="G5" s="19"/>
      <c r="H5" s="18"/>
      <c r="I5" s="18"/>
      <c r="J5" s="18">
        <f>SUM(J6:J12)</f>
        <v>0</v>
      </c>
      <c r="K5" s="18"/>
      <c r="L5" s="18"/>
      <c r="M5" s="18"/>
      <c r="N5" s="18">
        <f>SUM(N6:N12)</f>
        <v>1185.4443231072935</v>
      </c>
      <c r="O5" s="18">
        <f>B38*B39*B40</f>
        <v>0</v>
      </c>
      <c r="P5" s="18">
        <f>B46*B47*B48/1000-B46*B47*B48/1000/B49</f>
        <v>0</v>
      </c>
      <c r="R5" s="33"/>
    </row>
    <row r="6" spans="1:18">
      <c r="A6" s="33" t="s">
        <v>54</v>
      </c>
      <c r="B6" s="38">
        <f>B26</f>
        <v>2423.7288425616998</v>
      </c>
      <c r="C6" s="34"/>
      <c r="D6" s="38">
        <f>IF(ISERROR(TER_kantoor_gas_kWh/1000),0,TER_kantoor_gas_kWh/1000)*0.902</f>
        <v>3038.2193362223929</v>
      </c>
      <c r="E6" s="34">
        <f>$C$26*'E Balans VL '!I12/100/3.6*1000000</f>
        <v>3.9778302619446118</v>
      </c>
      <c r="F6" s="34">
        <f>$C$26*('E Balans VL '!L12+'E Balans VL '!N12)/100/3.6*1000000</f>
        <v>285.70060329519731</v>
      </c>
      <c r="G6" s="35"/>
      <c r="H6" s="34"/>
      <c r="I6" s="34"/>
      <c r="J6" s="34">
        <f>$C$26*('E Balans VL '!D12+'E Balans VL '!E12)/100/3.6*1000000</f>
        <v>0</v>
      </c>
      <c r="K6" s="34"/>
      <c r="L6" s="34"/>
      <c r="M6" s="34"/>
      <c r="N6" s="34">
        <f>$C$26*'E Balans VL '!Y12/100/3.6*1000000</f>
        <v>0.48970293534390563</v>
      </c>
      <c r="O6" s="34"/>
      <c r="P6" s="34"/>
      <c r="R6" s="33"/>
    </row>
    <row r="7" spans="1:18">
      <c r="A7" s="33" t="s">
        <v>53</v>
      </c>
      <c r="B7" s="38">
        <f t="shared" ref="B7:B12" si="0">B27</f>
        <v>2787.8609191854698</v>
      </c>
      <c r="C7" s="34"/>
      <c r="D7" s="38">
        <f>IF(ISERROR(TER_horeca_gas_kWh/1000),0,TER_horeca_gas_kWh/1000)*0.902</f>
        <v>2434.1640460260264</v>
      </c>
      <c r="E7" s="34">
        <f>$C$27*'E Balans VL '!I9/100/3.6*1000000</f>
        <v>144.66980831242012</v>
      </c>
      <c r="F7" s="34">
        <f>$C$27*('E Balans VL '!L9+'E Balans VL '!N9)/100/3.6*1000000</f>
        <v>636.19188464003298</v>
      </c>
      <c r="G7" s="35"/>
      <c r="H7" s="34"/>
      <c r="I7" s="34"/>
      <c r="J7" s="34">
        <f>$C$27*('E Balans VL '!D9+'E Balans VL '!E9)/100/3.6*1000000</f>
        <v>0</v>
      </c>
      <c r="K7" s="34"/>
      <c r="L7" s="34"/>
      <c r="M7" s="34"/>
      <c r="N7" s="34">
        <f>$C$27*'E Balans VL '!Y9/100/3.6*1000000</f>
        <v>0.2943968354729814</v>
      </c>
      <c r="O7" s="34"/>
      <c r="P7" s="34"/>
      <c r="R7" s="33"/>
    </row>
    <row r="8" spans="1:18">
      <c r="A8" s="6" t="s">
        <v>52</v>
      </c>
      <c r="B8" s="38">
        <f t="shared" si="0"/>
        <v>7757.81671931867</v>
      </c>
      <c r="C8" s="34"/>
      <c r="D8" s="38">
        <f>IF(ISERROR(TER_handel_gas_kWh/1000),0,TER_handel_gas_kWh/1000)*0.902</f>
        <v>5240.8728993640962</v>
      </c>
      <c r="E8" s="34">
        <f>$C$28*'E Balans VL '!I13/100/3.6*1000000</f>
        <v>41.776796342500845</v>
      </c>
      <c r="F8" s="34">
        <f>$C$28*('E Balans VL '!L13+'E Balans VL '!N13)/100/3.6*1000000</f>
        <v>1582.049370617844</v>
      </c>
      <c r="G8" s="35"/>
      <c r="H8" s="34"/>
      <c r="I8" s="34"/>
      <c r="J8" s="34">
        <f>$C$28*('E Balans VL '!D13+'E Balans VL '!E13)/100/3.6*1000000</f>
        <v>0</v>
      </c>
      <c r="K8" s="34"/>
      <c r="L8" s="34"/>
      <c r="M8" s="34"/>
      <c r="N8" s="34">
        <f>$C$28*'E Balans VL '!Y13/100/3.6*1000000</f>
        <v>38.57552575953757</v>
      </c>
      <c r="O8" s="34"/>
      <c r="P8" s="34"/>
      <c r="R8" s="33"/>
    </row>
    <row r="9" spans="1:18">
      <c r="A9" s="33" t="s">
        <v>51</v>
      </c>
      <c r="B9" s="38">
        <f t="shared" si="0"/>
        <v>69.535489785476088</v>
      </c>
      <c r="C9" s="34"/>
      <c r="D9" s="38">
        <f>IF(ISERROR(TER_gezond_gas_kWh/1000),0,TER_gezond_gas_kWh/1000)*0.902</f>
        <v>238.77607067052489</v>
      </c>
      <c r="E9" s="34">
        <f>$C$29*'E Balans VL '!I10/100/3.6*1000000</f>
        <v>6.8910461131724027E-2</v>
      </c>
      <c r="F9" s="34">
        <f>$C$29*('E Balans VL '!L10+'E Balans VL '!N10)/100/3.6*1000000</f>
        <v>24.126810671960186</v>
      </c>
      <c r="G9" s="35"/>
      <c r="H9" s="34"/>
      <c r="I9" s="34"/>
      <c r="J9" s="34">
        <f>$C$29*('E Balans VL '!D10+'E Balans VL '!E10)/100/3.6*1000000</f>
        <v>0</v>
      </c>
      <c r="K9" s="34"/>
      <c r="L9" s="34"/>
      <c r="M9" s="34"/>
      <c r="N9" s="34">
        <f>$C$29*'E Balans VL '!Y10/100/3.6*1000000</f>
        <v>0.59918129165084755</v>
      </c>
      <c r="O9" s="34"/>
      <c r="P9" s="34"/>
      <c r="R9" s="33"/>
    </row>
    <row r="10" spans="1:18">
      <c r="A10" s="33" t="s">
        <v>50</v>
      </c>
      <c r="B10" s="38">
        <f t="shared" si="0"/>
        <v>1088.74242495625</v>
      </c>
      <c r="C10" s="34"/>
      <c r="D10" s="38">
        <f>IF(ISERROR(TER_ander_gas_kWh/1000),0,TER_ander_gas_kWh/1000)*0.902</f>
        <v>362.99055641825731</v>
      </c>
      <c r="E10" s="34">
        <f>$C$30*'E Balans VL '!I14/100/3.6*1000000</f>
        <v>8.9070011567022753</v>
      </c>
      <c r="F10" s="34">
        <f>$C$30*('E Balans VL '!L14+'E Balans VL '!N14)/100/3.6*1000000</f>
        <v>318.30396051732032</v>
      </c>
      <c r="G10" s="35"/>
      <c r="H10" s="34"/>
      <c r="I10" s="34"/>
      <c r="J10" s="34">
        <f>$C$30*('E Balans VL '!D14+'E Balans VL '!E14)/100/3.6*1000000</f>
        <v>0</v>
      </c>
      <c r="K10" s="34"/>
      <c r="L10" s="34"/>
      <c r="M10" s="34"/>
      <c r="N10" s="34">
        <f>$C$30*'E Balans VL '!Y14/100/3.6*1000000</f>
        <v>628.06152412314395</v>
      </c>
      <c r="O10" s="34"/>
      <c r="P10" s="34"/>
      <c r="R10" s="33"/>
    </row>
    <row r="11" spans="1:18">
      <c r="A11" s="33" t="s">
        <v>55</v>
      </c>
      <c r="B11" s="38">
        <f t="shared" si="0"/>
        <v>89.833835023395011</v>
      </c>
      <c r="C11" s="34"/>
      <c r="D11" s="38">
        <f>IF(ISERROR(TER_onderwijs_gas_kWh/1000),0,TER_onderwijs_gas_kWh/1000)*0.902</f>
        <v>0</v>
      </c>
      <c r="E11" s="34">
        <f>$C$31*'E Balans VL '!I11/100/3.6*1000000</f>
        <v>5.5369785442596714E-2</v>
      </c>
      <c r="F11" s="34">
        <f>$C$31*('E Balans VL '!L11+'E Balans VL '!N11)/100/3.6*1000000</f>
        <v>34.731215449295995</v>
      </c>
      <c r="G11" s="35"/>
      <c r="H11" s="34"/>
      <c r="I11" s="34"/>
      <c r="J11" s="34">
        <f>$C$31*('E Balans VL '!D11+'E Balans VL '!E11)/100/3.6*1000000</f>
        <v>0</v>
      </c>
      <c r="K11" s="34"/>
      <c r="L11" s="34"/>
      <c r="M11" s="34"/>
      <c r="N11" s="34">
        <f>$C$31*'E Balans VL '!Y11/100/3.6*1000000</f>
        <v>0.29221021435129463</v>
      </c>
      <c r="O11" s="34"/>
      <c r="P11" s="34"/>
      <c r="R11" s="33"/>
    </row>
    <row r="12" spans="1:18">
      <c r="A12" s="33" t="s">
        <v>260</v>
      </c>
      <c r="B12" s="38">
        <f t="shared" si="0"/>
        <v>7862.3842710071804</v>
      </c>
      <c r="C12" s="34"/>
      <c r="D12" s="38">
        <f>IF(ISERROR(TER_rest_gas_kWh/1000),0,TER_rest_gas_kWh/1000)*0.902</f>
        <v>4739.7250459465104</v>
      </c>
      <c r="E12" s="34">
        <f>$C$32*'E Balans VL '!I8/100/3.6*1000000</f>
        <v>67.933678750414856</v>
      </c>
      <c r="F12" s="34">
        <f>$C$32*('E Balans VL '!L8+'E Balans VL '!N8)/100/3.6*1000000</f>
        <v>1566.0876101260314</v>
      </c>
      <c r="G12" s="35"/>
      <c r="H12" s="34"/>
      <c r="I12" s="34"/>
      <c r="J12" s="34">
        <f>$C$32*('E Balans VL '!D8+'E Balans VL '!E8)/100/3.6*1000000</f>
        <v>0</v>
      </c>
      <c r="K12" s="34"/>
      <c r="L12" s="34"/>
      <c r="M12" s="34"/>
      <c r="N12" s="34">
        <f>$C$32*'E Balans VL '!Y8/100/3.6*1000000</f>
        <v>517.131781947793</v>
      </c>
      <c r="O12" s="34"/>
      <c r="P12" s="34"/>
      <c r="R12" s="33"/>
    </row>
    <row r="13" spans="1:18">
      <c r="A13" s="17" t="s">
        <v>502</v>
      </c>
      <c r="B13" s="250">
        <f ca="1">'lokale energieproductie'!N90+'lokale energieproductie'!N59</f>
        <v>1035</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-2957.1428571428573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23114.90250183814</v>
      </c>
      <c r="C16" s="22">
        <f t="shared" ca="1" si="1"/>
        <v>0</v>
      </c>
      <c r="D16" s="22">
        <f t="shared" ca="1" si="1"/>
        <v>16054.747954647808</v>
      </c>
      <c r="E16" s="22">
        <f t="shared" si="1"/>
        <v>267.38939507055704</v>
      </c>
      <c r="F16" s="22">
        <f t="shared" ca="1" si="1"/>
        <v>4447.191455317683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0.20716438519115288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4788.5845655467401</v>
      </c>
      <c r="C20" s="24">
        <f t="shared" ref="C20:P20" ca="1" si="2">C16*C18</f>
        <v>0</v>
      </c>
      <c r="D20" s="24">
        <f t="shared" ca="1" si="2"/>
        <v>3243.0590868388576</v>
      </c>
      <c r="E20" s="24">
        <f t="shared" si="2"/>
        <v>60.697392681016453</v>
      </c>
      <c r="F20" s="24">
        <f t="shared" ca="1" si="2"/>
        <v>1187.4001185698214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2423.7288425616998</v>
      </c>
      <c r="C26" s="40">
        <f>IF(ISERROR(B26*3.6/1000000/'E Balans VL '!Z12*100),0,B26*3.6/1000000/'E Balans VL '!Z12*100)</f>
        <v>5.150249977324161E-2</v>
      </c>
      <c r="D26" s="240" t="s">
        <v>707</v>
      </c>
      <c r="F26" s="6"/>
    </row>
    <row r="27" spans="1:18">
      <c r="A27" s="234" t="s">
        <v>53</v>
      </c>
      <c r="B27" s="34">
        <f>IF(ISERROR(TER_horeca_ele_kWh/1000),0,TER_horeca_ele_kWh/1000)</f>
        <v>2787.8609191854698</v>
      </c>
      <c r="C27" s="40">
        <f>IF(ISERROR(B27*3.6/1000000/'E Balans VL '!Z9*100),0,B27*3.6/1000000/'E Balans VL '!Z9*100)</f>
        <v>0.21942621277489296</v>
      </c>
      <c r="D27" s="240" t="s">
        <v>707</v>
      </c>
      <c r="F27" s="6"/>
    </row>
    <row r="28" spans="1:18">
      <c r="A28" s="174" t="s">
        <v>52</v>
      </c>
      <c r="B28" s="34">
        <f>IF(ISERROR(TER_handel_ele_kWh/1000),0,TER_handel_ele_kWh/1000)</f>
        <v>7757.81671931867</v>
      </c>
      <c r="C28" s="40">
        <f>IF(ISERROR(B28*3.6/1000000/'E Balans VL '!Z13*100),0,B28*3.6/1000000/'E Balans VL '!Z13*100)</f>
        <v>0.21730059812771152</v>
      </c>
      <c r="D28" s="240" t="s">
        <v>707</v>
      </c>
      <c r="F28" s="6"/>
    </row>
    <row r="29" spans="1:18">
      <c r="A29" s="234" t="s">
        <v>51</v>
      </c>
      <c r="B29" s="34">
        <f>IF(ISERROR(TER_gezond_ele_kWh/1000),0,TER_gezond_ele_kWh/1000)</f>
        <v>69.535489785476088</v>
      </c>
      <c r="C29" s="40">
        <f>IF(ISERROR(B29*3.6/1000000/'E Balans VL '!Z10*100),0,B29*3.6/1000000/'E Balans VL '!Z10*100)</f>
        <v>8.8956918120898093E-3</v>
      </c>
      <c r="D29" s="240" t="s">
        <v>707</v>
      </c>
      <c r="F29" s="6"/>
    </row>
    <row r="30" spans="1:18">
      <c r="A30" s="234" t="s">
        <v>50</v>
      </c>
      <c r="B30" s="34">
        <f>IF(ISERROR(TER_ander_ele_kWh/1000),0,TER_ander_ele_kWh/1000)</f>
        <v>1088.74242495625</v>
      </c>
      <c r="C30" s="40">
        <f>IF(ISERROR(B30*3.6/1000000/'E Balans VL '!Z14*100),0,B30*3.6/1000000/'E Balans VL '!Z14*100)</f>
        <v>8.1428759482796806E-2</v>
      </c>
      <c r="D30" s="240" t="s">
        <v>707</v>
      </c>
      <c r="F30" s="6"/>
    </row>
    <row r="31" spans="1:18">
      <c r="A31" s="234" t="s">
        <v>55</v>
      </c>
      <c r="B31" s="34">
        <f>IF(ISERROR(TER_onderwijs_ele_kWh/1000),0,TER_onderwijs_ele_kWh/1000)</f>
        <v>89.833835023395011</v>
      </c>
      <c r="C31" s="40">
        <f>IF(ISERROR(B31*3.6/1000000/'E Balans VL '!Z11*100),0,B31*3.6/1000000/'E Balans VL '!Z11*100)</f>
        <v>1.8968530629749732E-2</v>
      </c>
      <c r="D31" s="240" t="s">
        <v>707</v>
      </c>
    </row>
    <row r="32" spans="1:18">
      <c r="A32" s="234" t="s">
        <v>260</v>
      </c>
      <c r="B32" s="34">
        <f>IF(ISERROR(TER_rest_ele_kWh/1000),0,TER_rest_ele_kWh/1000)</f>
        <v>7862.3842710071804</v>
      </c>
      <c r="C32" s="40">
        <f>IF(ISERROR(B32*3.6/1000000/'E Balans VL '!Z8*100),0,B32*3.6/1000000/'E Balans VL '!Z8*100)</f>
        <v>6.4769787496938513E-2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73629.512119018284</v>
      </c>
      <c r="C5" s="18">
        <f>IF(ISERROR('Eigen informatie GS &amp; warmtenet'!B59),0,'Eigen informatie GS &amp; warmtenet'!B59)</f>
        <v>0</v>
      </c>
      <c r="D5" s="31">
        <f>SUM(D6:D15)</f>
        <v>109388.66570336712</v>
      </c>
      <c r="E5" s="18">
        <f>SUM(E6:E15)</f>
        <v>680.22619947836267</v>
      </c>
      <c r="F5" s="18">
        <f>SUM(F6:F15)</f>
        <v>13519.612595784478</v>
      </c>
      <c r="G5" s="19"/>
      <c r="H5" s="18"/>
      <c r="I5" s="18"/>
      <c r="J5" s="18">
        <f>SUM(J6:J15)</f>
        <v>230.81816099179048</v>
      </c>
      <c r="K5" s="18"/>
      <c r="L5" s="18"/>
      <c r="M5" s="18"/>
      <c r="N5" s="18">
        <f>SUM(N6:N15)</f>
        <v>1987.1043928749023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108.508251667924</v>
      </c>
      <c r="C8" s="34"/>
      <c r="D8" s="38">
        <f>IF( ISERROR(IND_metaal_Gas_kWH/1000),0,IND_metaal_Gas_kWH/1000)*0.902</f>
        <v>0</v>
      </c>
      <c r="E8" s="34">
        <f>C30*'E Balans VL '!I18/100/3.6*1000000</f>
        <v>0.98816509341227532</v>
      </c>
      <c r="F8" s="34">
        <f>C30*'E Balans VL '!L18/100/3.6*1000000+C30*'E Balans VL '!N18/100/3.6*1000000</f>
        <v>14.311414369182923</v>
      </c>
      <c r="G8" s="35"/>
      <c r="H8" s="34"/>
      <c r="I8" s="34"/>
      <c r="J8" s="41">
        <f>C30*'E Balans VL '!D18/100/3.6*1000000+C30*'E Balans VL '!E18/100/3.6*1000000</f>
        <v>1.7793777790456766</v>
      </c>
      <c r="K8" s="34"/>
      <c r="L8" s="34"/>
      <c r="M8" s="34"/>
      <c r="N8" s="34">
        <f>C30*'E Balans VL '!Y18/100/3.6*1000000</f>
        <v>0.37289975619025184</v>
      </c>
      <c r="O8" s="34"/>
      <c r="P8" s="34"/>
      <c r="R8" s="33"/>
    </row>
    <row r="9" spans="1:18">
      <c r="A9" s="6" t="s">
        <v>33</v>
      </c>
      <c r="B9" s="38">
        <f t="shared" si="0"/>
        <v>2084.9509789050603</v>
      </c>
      <c r="C9" s="34"/>
      <c r="D9" s="38">
        <f>IF( ISERROR(IND_andere_gas_kWh/1000),0,IND_andere_gas_kWh/1000)*0.902</f>
        <v>1801.5473586533049</v>
      </c>
      <c r="E9" s="34">
        <f>C31*'E Balans VL '!I19/100/3.6*1000000</f>
        <v>12.051328228224152</v>
      </c>
      <c r="F9" s="34">
        <f>C31*'E Balans VL '!L19/100/3.6*1000000+C31*'E Balans VL '!N19/100/3.6*1000000</f>
        <v>1658.6788275901188</v>
      </c>
      <c r="G9" s="35"/>
      <c r="H9" s="34"/>
      <c r="I9" s="34"/>
      <c r="J9" s="41">
        <f>C31*'E Balans VL '!D19/100/3.6*1000000+C31*'E Balans VL '!E19/100/3.6*1000000</f>
        <v>0.19721320362489525</v>
      </c>
      <c r="K9" s="34"/>
      <c r="L9" s="34"/>
      <c r="M9" s="34"/>
      <c r="N9" s="34">
        <f>C31*'E Balans VL '!Y19/100/3.6*1000000</f>
        <v>157.96658885582428</v>
      </c>
      <c r="O9" s="34"/>
      <c r="P9" s="34"/>
      <c r="R9" s="33"/>
    </row>
    <row r="10" spans="1:18">
      <c r="A10" s="6" t="s">
        <v>41</v>
      </c>
      <c r="B10" s="38">
        <f t="shared" si="0"/>
        <v>25813.334396321901</v>
      </c>
      <c r="C10" s="34"/>
      <c r="D10" s="38">
        <f>IF( ISERROR(IND_voed_gas_kWh/1000),0,IND_voed_gas_kWh/1000)*0.902</f>
        <v>16070.683891846891</v>
      </c>
      <c r="E10" s="34">
        <f>C32*'E Balans VL '!I20/100/3.6*1000000</f>
        <v>253.81260870456225</v>
      </c>
      <c r="F10" s="34">
        <f>C32*'E Balans VL '!L20/100/3.6*1000000+C32*'E Balans VL '!N20/100/3.6*1000000</f>
        <v>2866.9077169859834</v>
      </c>
      <c r="G10" s="35"/>
      <c r="H10" s="34"/>
      <c r="I10" s="34"/>
      <c r="J10" s="41">
        <f>C32*'E Balans VL '!D20/100/3.6*1000000+C32*'E Balans VL '!E20/100/3.6*1000000</f>
        <v>0.10174206940458846</v>
      </c>
      <c r="K10" s="34"/>
      <c r="L10" s="34"/>
      <c r="M10" s="34"/>
      <c r="N10" s="34">
        <f>C32*'E Balans VL '!Y20/100/3.6*1000000</f>
        <v>382.23476304673716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136.48436252229399</v>
      </c>
      <c r="C13" s="34"/>
      <c r="D13" s="38">
        <f>IF( ISERROR(IND_papier_gas_kWh/1000),0,IND_papier_gas_kWh/1000)*0.902</f>
        <v>0</v>
      </c>
      <c r="E13" s="34">
        <f>C35*'E Balans VL '!I23/100/3.6*1000000</f>
        <v>4.648855277040937</v>
      </c>
      <c r="F13" s="34">
        <f>C35*'E Balans VL '!L23/100/3.6*1000000+C35*'E Balans VL '!N23/100/3.6*1000000</f>
        <v>22.544013469645677</v>
      </c>
      <c r="G13" s="35"/>
      <c r="H13" s="34"/>
      <c r="I13" s="34"/>
      <c r="J13" s="41">
        <f>C35*'E Balans VL '!D23/100/3.6*1000000+C35*'E Balans VL '!E23/100/3.6*1000000</f>
        <v>0</v>
      </c>
      <c r="K13" s="34"/>
      <c r="L13" s="34"/>
      <c r="M13" s="34"/>
      <c r="N13" s="34">
        <f>C35*'E Balans VL '!Y23/100/3.6*1000000</f>
        <v>50.222585181342318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45486.2341296011</v>
      </c>
      <c r="C15" s="34"/>
      <c r="D15" s="38">
        <f>IF( ISERROR(IND_rest_gas_kWh/1000),0,IND_rest_gas_kWh/1000)*0.902</f>
        <v>91516.434452866917</v>
      </c>
      <c r="E15" s="34">
        <f>C37*'E Balans VL '!I15/100/3.6*1000000</f>
        <v>408.72524217512307</v>
      </c>
      <c r="F15" s="34">
        <f>C37*'E Balans VL '!L15/100/3.6*1000000+C37*'E Balans VL '!N15/100/3.6*1000000</f>
        <v>8957.1706233695477</v>
      </c>
      <c r="G15" s="35"/>
      <c r="H15" s="34"/>
      <c r="I15" s="34"/>
      <c r="J15" s="41">
        <f>C37*'E Balans VL '!D15/100/3.6*1000000+C37*'E Balans VL '!E15/100/3.6*1000000</f>
        <v>228.73982793971533</v>
      </c>
      <c r="K15" s="34"/>
      <c r="L15" s="34"/>
      <c r="M15" s="34"/>
      <c r="N15" s="34">
        <f>C37*'E Balans VL '!Y15/100/3.6*1000000</f>
        <v>1396.3075560348082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73629.512119018284</v>
      </c>
      <c r="C18" s="22">
        <f>C5+C16</f>
        <v>0</v>
      </c>
      <c r="D18" s="22">
        <f>MAX((D5+D16),0)</f>
        <v>109388.66570336712</v>
      </c>
      <c r="E18" s="22">
        <f>MAX((E5+E16),0)</f>
        <v>680.22619947836267</v>
      </c>
      <c r="F18" s="22">
        <f>MAX((F5+F16),0)</f>
        <v>13519.612595784478</v>
      </c>
      <c r="G18" s="22"/>
      <c r="H18" s="22"/>
      <c r="I18" s="22"/>
      <c r="J18" s="22">
        <f>MAX((J5+J16),0)</f>
        <v>230.81816099179048</v>
      </c>
      <c r="K18" s="22"/>
      <c r="L18" s="22">
        <f>MAX((L5+L16),0)</f>
        <v>0</v>
      </c>
      <c r="M18" s="22"/>
      <c r="N18" s="22">
        <f>MAX((N5+N16),0)</f>
        <v>1987.1043928749023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0.20716438519115288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15253.412610060963</v>
      </c>
      <c r="C22" s="24">
        <f ca="1">C18*C20</f>
        <v>0</v>
      </c>
      <c r="D22" s="24">
        <f>D18*D20</f>
        <v>22096.510472080161</v>
      </c>
      <c r="E22" s="24">
        <f>E18*E20</f>
        <v>154.41134728158832</v>
      </c>
      <c r="F22" s="24">
        <f>F18*F20</f>
        <v>3609.7365630744557</v>
      </c>
      <c r="G22" s="24"/>
      <c r="H22" s="24"/>
      <c r="I22" s="24"/>
      <c r="J22" s="24">
        <f>J18*J20</f>
        <v>81.709628991093822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108.508251667924</v>
      </c>
      <c r="C30" s="40">
        <f>IF(ISERROR(B30*3.6/1000000/'E Balans VL '!Z18*100),0,B30*3.6/1000000/'E Balans VL '!Z18*100)</f>
        <v>6.0377586168664276E-3</v>
      </c>
      <c r="D30" s="240" t="s">
        <v>707</v>
      </c>
    </row>
    <row r="31" spans="1:18">
      <c r="A31" s="6" t="s">
        <v>33</v>
      </c>
      <c r="B31" s="38">
        <f>IF( ISERROR(IND_ander_ele_kWh/1000),0,IND_ander_ele_kWh/1000)</f>
        <v>2084.9509789050603</v>
      </c>
      <c r="C31" s="40">
        <f>IF(ISERROR(B31*3.6/1000000/'E Balans VL '!Z19*100),0,B31*3.6/1000000/'E Balans VL '!Z19*100)</f>
        <v>9.6923895296876866E-2</v>
      </c>
      <c r="D31" s="240" t="s">
        <v>707</v>
      </c>
    </row>
    <row r="32" spans="1:18">
      <c r="A32" s="174" t="s">
        <v>41</v>
      </c>
      <c r="B32" s="38">
        <f>IF( ISERROR(IND_voed_ele_kWh/1000),0,IND_voed_ele_kWh/1000)</f>
        <v>25813.334396321901</v>
      </c>
      <c r="C32" s="40">
        <f>IF(ISERROR(B32*3.6/1000000/'E Balans VL '!Z20*100),0,B32*3.6/1000000/'E Balans VL '!Z20*100)</f>
        <v>0.91244923867334282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136.48436252229399</v>
      </c>
      <c r="C35" s="40">
        <f>IF(ISERROR(B35*3.6/1000000/'E Balans VL '!Z22*100),0,B35*3.6/1000000/'E Balans VL '!Z22*100)</f>
        <v>2.742950813798381E-2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45486.2341296011</v>
      </c>
      <c r="C37" s="40">
        <f>IF(ISERROR(B37*3.6/1000000/'E Balans VL '!Z15*100),0,B37*3.6/1000000/'E Balans VL '!Z15*100)</f>
        <v>0.34348826100693475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520.17605657538104</v>
      </c>
      <c r="C5" s="18">
        <f>'Eigen informatie GS &amp; warmtenet'!B60</f>
        <v>0</v>
      </c>
      <c r="D5" s="31">
        <f>IF(ISERROR(SUM(LB_lb_gas_kWh,LB_rest_gas_kWh,onbekend_gas_kWh)/1000),0,SUM(LB_lb_gas_kWh,LB_rest_gas_kWh,onbekend_gas_kWh)/1000)*0.902</f>
        <v>22734.317488210283</v>
      </c>
      <c r="E5" s="18">
        <f>B17*'E Balans VL '!I25/3.6*1000000/100</f>
        <v>4.9004069823308383</v>
      </c>
      <c r="F5" s="18">
        <f>B17*('E Balans VL '!L25/3.6*1000000+'E Balans VL '!N25/3.6*1000000)/100</f>
        <v>1697.5071038776043</v>
      </c>
      <c r="G5" s="19"/>
      <c r="H5" s="18"/>
      <c r="I5" s="18"/>
      <c r="J5" s="18">
        <f>('E Balans VL '!D25+'E Balans VL '!E25)/3.6*1000000*landbouw!B17/100</f>
        <v>64.348308334227809</v>
      </c>
      <c r="K5" s="18"/>
      <c r="L5" s="18">
        <f>L6*(-1)</f>
        <v>0</v>
      </c>
      <c r="M5" s="18"/>
      <c r="N5" s="18">
        <f>N6*(-1)</f>
        <v>0</v>
      </c>
      <c r="O5" s="18"/>
      <c r="P5" s="18"/>
      <c r="R5" s="33"/>
    </row>
    <row r="6" spans="1:18">
      <c r="A6" s="17" t="s">
        <v>502</v>
      </c>
      <c r="B6" s="18" t="s">
        <v>211</v>
      </c>
      <c r="C6" s="18">
        <f>'lokale energieproductie'!O91+'lokale energieproductie'!O60</f>
        <v>9000</v>
      </c>
      <c r="D6" s="312">
        <f>('lokale energieproductie'!P60+'lokale energieproductie'!P91)*(-1)</f>
        <v>-18000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520.17605657538104</v>
      </c>
      <c r="C8" s="22">
        <f>C5+C6</f>
        <v>9000</v>
      </c>
      <c r="D8" s="22">
        <f>MAX((D5+D6),0)</f>
        <v>4734.317488210283</v>
      </c>
      <c r="E8" s="22">
        <f>MAX((E5+E6),0)</f>
        <v>4.9004069823308383</v>
      </c>
      <c r="F8" s="22">
        <f>MAX((F5+F6),0)</f>
        <v>1697.5071038776043</v>
      </c>
      <c r="G8" s="22"/>
      <c r="H8" s="22"/>
      <c r="I8" s="22"/>
      <c r="J8" s="22">
        <f>MAX((J5+J6),0)</f>
        <v>64.348308334227809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0.20716438519115288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107.76195295159717</v>
      </c>
      <c r="C12" s="24">
        <f ca="1">C8*C10</f>
        <v>2138.8235294117649</v>
      </c>
      <c r="D12" s="24">
        <f>D8*D10</f>
        <v>956.3321326184772</v>
      </c>
      <c r="E12" s="24">
        <f>E8*E10</f>
        <v>1.1123923849891004</v>
      </c>
      <c r="F12" s="24">
        <f>F8*F10</f>
        <v>453.23439673532039</v>
      </c>
      <c r="G12" s="24"/>
      <c r="H12" s="24"/>
      <c r="I12" s="24"/>
      <c r="J12" s="24">
        <f>J8*J10</f>
        <v>22.779301150316645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7.0423525912636689E-2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110.42779199814206</v>
      </c>
      <c r="C26" s="250">
        <f>B26*'GWP N2O_CH4'!B5</f>
        <v>2318.9836319609831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35.776465552393582</v>
      </c>
      <c r="C27" s="250">
        <f>B27*'GWP N2O_CH4'!B5</f>
        <v>751.30577660026518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1.4626846920279062</v>
      </c>
      <c r="C28" s="250">
        <f>B28*'GWP N2O_CH4'!B4</f>
        <v>453.4322545286509</v>
      </c>
      <c r="D28" s="51"/>
    </row>
    <row r="29" spans="1:4">
      <c r="A29" s="42" t="s">
        <v>277</v>
      </c>
      <c r="B29" s="250">
        <f>B34*'ha_N2O bodem landbouw'!B4</f>
        <v>3.6180793443161465</v>
      </c>
      <c r="C29" s="250">
        <f>B29*'GWP N2O_CH4'!B4</f>
        <v>1121.6045967380055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9.7676752486215821E-4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1.1027730323303562E-5</v>
      </c>
      <c r="C5" s="447" t="s">
        <v>211</v>
      </c>
      <c r="D5" s="432">
        <f>SUM(D6:D11)</f>
        <v>2.8445384971938696E-5</v>
      </c>
      <c r="E5" s="432">
        <f>SUM(E6:E11)</f>
        <v>1.8534610807807834E-3</v>
      </c>
      <c r="F5" s="445" t="s">
        <v>211</v>
      </c>
      <c r="G5" s="432">
        <f>SUM(G6:G11)</f>
        <v>0.39624760525016683</v>
      </c>
      <c r="H5" s="432">
        <f>SUM(H6:H11)</f>
        <v>6.5227105862418061E-2</v>
      </c>
      <c r="I5" s="447" t="s">
        <v>211</v>
      </c>
      <c r="J5" s="447" t="s">
        <v>211</v>
      </c>
      <c r="K5" s="447" t="s">
        <v>211</v>
      </c>
      <c r="L5" s="447" t="s">
        <v>211</v>
      </c>
      <c r="M5" s="432">
        <f>SUM(M6:M11)</f>
        <v>2.0628759114825656E-2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5.6841100318278798E-6</v>
      </c>
      <c r="C6" s="433"/>
      <c r="D6" s="433">
        <f>vkm_2011_GW_PW*SUMIFS(TableVerdeelsleutelVkm[CNG],TableVerdeelsleutelVkm[Voertuigtype],"Lichte voertuigen")*SUMIFS(TableECFTransport[EnergieConsumptieFactor (PJ per km)],TableECFTransport[Index],CONCATENATE($A6,"_CNG_CNG"))</f>
        <v>1.3880691890119449E-5</v>
      </c>
      <c r="E6" s="435">
        <f>vkm_2011_GW_PW*SUMIFS(TableVerdeelsleutelVkm[LPG],TableVerdeelsleutelVkm[Voertuigtype],"Lichte voertuigen")*SUMIFS(TableECFTransport[EnergieConsumptieFactor (PJ per km)],TableECFTransport[Index],CONCATENATE($A6,"_LPG_LPG"))</f>
        <v>8.2277568175970184E-4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0.11894190350066952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3.1171255769936818E-2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6.7223437224763604E-3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5.3138274079059418E-2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2.1439221903728024E-5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2.3672936693552157E-3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5.7152129844153818E-7</v>
      </c>
      <c r="C8" s="433"/>
      <c r="D8" s="435">
        <f>vkm_2011_NGW_PW*SUMIFS(TableVerdeelsleutelVkm[CNG],TableVerdeelsleutelVkm[Voertuigtype],"Lichte voertuigen")*SUMIFS(TableECFTransport[EnergieConsumptieFactor (PJ per km)],TableECFTransport[Index],CONCATENATE($A8,"_CNG_CNG"))</f>
        <v>2.5040593852676262E-6</v>
      </c>
      <c r="E8" s="435">
        <f>vkm_2011_NGW_PW*SUMIFS(TableVerdeelsleutelVkm[LPG],TableVerdeelsleutelVkm[Voertuigtype],"Lichte voertuigen")*SUMIFS(TableECFTransport[EnergieConsumptieFactor (PJ per km)],TableECFTransport[Index],CONCATENATE($A8,"_LPG_LPG"))</f>
        <v>1.3616753011501289E-4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1.8595762796642327E-2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5.3848134003915771E-3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1.0743833874293305E-3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5.798118610183943E-3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2.0368311059331374E-6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2.5829055513228676E-4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4.7720989930341435E-6</v>
      </c>
      <c r="C10" s="433"/>
      <c r="D10" s="435">
        <f>vkm_2011_SW_PW*SUMIFS(TableVerdeelsleutelVkm[CNG],TableVerdeelsleutelVkm[Voertuigtype],"Lichte voertuigen")*SUMIFS(TableECFTransport[EnergieConsumptieFactor (PJ per km)],TableECFTransport[Index],CONCATENATE($A10,"_CNG_CNG"))</f>
        <v>1.206063369655162E-5</v>
      </c>
      <c r="E10" s="435">
        <f>vkm_2011_SW_PW*SUMIFS(TableVerdeelsleutelVkm[LPG],TableVerdeelsleutelVkm[Voertuigtype],"Lichte voertuigen")*SUMIFS(TableECFTransport[EnergieConsumptieFactor (PJ per km)],TableECFTransport[Index],CONCATENATE($A10,"_LPG_LPG"))</f>
        <v>8.9451786890606868E-4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0.11784772616005969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2.8612492177526767E-2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6.5565856991268712E-3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8.1925820103551913E-2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3.5068461553236843E-5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3.6498620813055944E-3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3.0632584231398781</v>
      </c>
      <c r="C14" s="22"/>
      <c r="D14" s="22">
        <f t="shared" ref="D14:M14" si="0">((D5)*10^9/3600)+D12</f>
        <v>7.901495825538527</v>
      </c>
      <c r="E14" s="22">
        <f t="shared" si="0"/>
        <v>514.85030021688431</v>
      </c>
      <c r="F14" s="22"/>
      <c r="G14" s="22">
        <f t="shared" si="0"/>
        <v>110068.77923615745</v>
      </c>
      <c r="H14" s="22">
        <f t="shared" si="0"/>
        <v>18118.64051733835</v>
      </c>
      <c r="I14" s="22"/>
      <c r="J14" s="22"/>
      <c r="K14" s="22"/>
      <c r="L14" s="22"/>
      <c r="M14" s="22">
        <f t="shared" si="0"/>
        <v>5730.2108652293482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0.20716438519115288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0.63459804791139329</v>
      </c>
      <c r="C18" s="24"/>
      <c r="D18" s="24">
        <f t="shared" ref="D18:M18" si="1">D14*D16</f>
        <v>1.5961021567587825</v>
      </c>
      <c r="E18" s="24">
        <f t="shared" si="1"/>
        <v>116.87101814923274</v>
      </c>
      <c r="F18" s="24"/>
      <c r="G18" s="24">
        <f t="shared" si="1"/>
        <v>29388.364056054041</v>
      </c>
      <c r="H18" s="24">
        <f t="shared" si="1"/>
        <v>4511.541488817249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2.4938302322520551E-3</v>
      </c>
      <c r="H50" s="323">
        <f t="shared" si="2"/>
        <v>0</v>
      </c>
      <c r="I50" s="323">
        <f t="shared" si="2"/>
        <v>0</v>
      </c>
      <c r="J50" s="323">
        <f t="shared" si="2"/>
        <v>0</v>
      </c>
      <c r="K50" s="323">
        <f t="shared" si="2"/>
        <v>0</v>
      </c>
      <c r="L50" s="323">
        <f t="shared" si="2"/>
        <v>0</v>
      </c>
      <c r="M50" s="323">
        <f t="shared" si="2"/>
        <v>1.0950819932848039E-4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2.4938302322520551E-3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1.0950819932848039E-4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692.73062007001533</v>
      </c>
      <c r="H54" s="22">
        <f t="shared" si="3"/>
        <v>0</v>
      </c>
      <c r="I54" s="22">
        <f t="shared" si="3"/>
        <v>0</v>
      </c>
      <c r="J54" s="22">
        <f t="shared" si="3"/>
        <v>0</v>
      </c>
      <c r="K54" s="22">
        <f t="shared" si="3"/>
        <v>0</v>
      </c>
      <c r="L54" s="22">
        <f t="shared" si="3"/>
        <v>0</v>
      </c>
      <c r="M54" s="22">
        <f t="shared" si="3"/>
        <v>30.418944257911221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0.20716438519115288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184.95907555869411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6852.0315920627254</v>
      </c>
      <c r="C6" s="1135"/>
      <c r="D6" s="1138"/>
      <c r="E6" s="1138"/>
      <c r="F6" s="1141"/>
      <c r="G6" s="1144"/>
      <c r="H6" s="1132"/>
      <c r="I6" s="1138"/>
      <c r="J6" s="1138"/>
      <c r="K6" s="1138"/>
      <c r="L6" s="1168"/>
      <c r="M6" s="560"/>
      <c r="N6" s="1180"/>
      <c r="O6" s="1181"/>
      <c r="Q6" s="558"/>
      <c r="R6" s="1165"/>
      <c r="S6" s="1165"/>
    </row>
    <row r="7" spans="1:19" s="548" customFormat="1">
      <c r="A7" s="561" t="s">
        <v>252</v>
      </c>
      <c r="B7" s="562">
        <f>N57</f>
        <v>6300</v>
      </c>
      <c r="C7" s="563">
        <f>B100</f>
        <v>7411.7647058823522</v>
      </c>
      <c r="D7" s="564"/>
      <c r="E7" s="564">
        <f>E100</f>
        <v>0</v>
      </c>
      <c r="F7" s="565"/>
      <c r="G7" s="566"/>
      <c r="H7" s="564">
        <f>I100</f>
        <v>0</v>
      </c>
      <c r="I7" s="564">
        <f>G100+F100</f>
        <v>0</v>
      </c>
      <c r="J7" s="564">
        <f>H100+D100+C100</f>
        <v>0</v>
      </c>
      <c r="K7" s="564"/>
      <c r="L7" s="567"/>
      <c r="M7" s="568">
        <f>C7*$C$11+D7*$D$11+E7*$E$11+F7*$F$11+G7*$G$11+H7*$H$11+I7*$I$11+J7*$J$11</f>
        <v>1497.1764705882354</v>
      </c>
      <c r="N7" s="1180"/>
      <c r="O7" s="1181"/>
      <c r="Q7" s="558"/>
      <c r="R7" s="1165"/>
      <c r="S7" s="1165"/>
    </row>
    <row r="8" spans="1:19" s="548" customFormat="1" ht="17.45" customHeight="1" thickBot="1">
      <c r="A8" s="569" t="s">
        <v>248</v>
      </c>
      <c r="B8" s="570">
        <f>N88+'Eigen informatie GS &amp; warmtenet'!B12</f>
        <v>1035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14187.031592062725</v>
      </c>
      <c r="C9" s="579">
        <f t="shared" ref="C9:L9" si="0">SUM(C7:C8)</f>
        <v>7411.7647058823522</v>
      </c>
      <c r="D9" s="579">
        <f t="shared" si="0"/>
        <v>0</v>
      </c>
      <c r="E9" s="579">
        <f t="shared" si="0"/>
        <v>0</v>
      </c>
      <c r="F9" s="579">
        <f t="shared" si="0"/>
        <v>0</v>
      </c>
      <c r="G9" s="579">
        <f t="shared" si="0"/>
        <v>0</v>
      </c>
      <c r="H9" s="579">
        <f t="shared" si="0"/>
        <v>0</v>
      </c>
      <c r="I9" s="579">
        <f t="shared" si="0"/>
        <v>0</v>
      </c>
      <c r="J9" s="579">
        <f t="shared" si="0"/>
        <v>2957.1428571428573</v>
      </c>
      <c r="K9" s="579">
        <f t="shared" si="0"/>
        <v>0</v>
      </c>
      <c r="L9" s="579">
        <f t="shared" si="0"/>
        <v>0</v>
      </c>
      <c r="M9" s="580">
        <f>SUM(M4:M8)</f>
        <v>1497.1764705882354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9000</v>
      </c>
      <c r="C16" s="595">
        <f>B101</f>
        <v>10588.235294117647</v>
      </c>
      <c r="D16" s="596"/>
      <c r="E16" s="596">
        <f>E101</f>
        <v>0</v>
      </c>
      <c r="F16" s="597"/>
      <c r="G16" s="598"/>
      <c r="H16" s="595">
        <f>I101</f>
        <v>0</v>
      </c>
      <c r="I16" s="596">
        <f>G101+F101</f>
        <v>0</v>
      </c>
      <c r="J16" s="596">
        <f>H101+D101+C101</f>
        <v>0</v>
      </c>
      <c r="K16" s="596"/>
      <c r="L16" s="599"/>
      <c r="M16" s="600">
        <f>C16*$C$21+E16*$E$21+H16*$H$21+I16*$I$21+J16*$J$21+D16*$D$21+F16*$F$21+G16*$G$21+K16*$K$21+L16*$L$21</f>
        <v>2138.8235294117649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9000</v>
      </c>
      <c r="C19" s="578">
        <f>SUM(C16:C18)</f>
        <v>10588.235294117647</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2138.8235294117649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13029</v>
      </c>
      <c r="C27" s="840">
        <v>2250</v>
      </c>
      <c r="D27" s="657" t="s">
        <v>877</v>
      </c>
      <c r="E27" s="656" t="s">
        <v>878</v>
      </c>
      <c r="F27" s="656" t="s">
        <v>879</v>
      </c>
      <c r="G27" s="656" t="s">
        <v>880</v>
      </c>
      <c r="H27" s="656" t="s">
        <v>881</v>
      </c>
      <c r="I27" s="656" t="s">
        <v>878</v>
      </c>
      <c r="J27" s="839">
        <v>39462</v>
      </c>
      <c r="K27" s="839">
        <v>39462</v>
      </c>
      <c r="L27" s="656" t="s">
        <v>882</v>
      </c>
      <c r="M27" s="656">
        <v>1400</v>
      </c>
      <c r="N27" s="656">
        <v>6300</v>
      </c>
      <c r="O27" s="656">
        <v>9000</v>
      </c>
      <c r="P27" s="656">
        <v>18000</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1400</v>
      </c>
      <c r="N57" s="614">
        <f>SUM(N27:N56)</f>
        <v>6300</v>
      </c>
      <c r="O57" s="614">
        <f t="shared" ref="O57:W57" si="2">SUM(O27:O56)</f>
        <v>9000</v>
      </c>
      <c r="P57" s="614">
        <f t="shared" si="2"/>
        <v>18000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1400</v>
      </c>
      <c r="N60" s="619">
        <f t="shared" ref="N60:W60" si="4">SUMIF($Z$27:$Z$56,"landbouw",N27:N56)</f>
        <v>6300</v>
      </c>
      <c r="O60" s="619">
        <f t="shared" si="4"/>
        <v>9000</v>
      </c>
      <c r="P60" s="619">
        <f t="shared" si="4"/>
        <v>18000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13029</v>
      </c>
      <c r="C63" s="840">
        <v>2250</v>
      </c>
      <c r="D63" s="659" t="s">
        <v>883</v>
      </c>
      <c r="E63" s="659" t="s">
        <v>884</v>
      </c>
      <c r="F63" s="659" t="s">
        <v>885</v>
      </c>
      <c r="G63" s="659" t="s">
        <v>886</v>
      </c>
      <c r="H63" s="659" t="s">
        <v>887</v>
      </c>
      <c r="I63" s="659" t="s">
        <v>888</v>
      </c>
      <c r="J63" s="839">
        <v>37067</v>
      </c>
      <c r="K63" s="839">
        <v>37653</v>
      </c>
      <c r="L63" s="659" t="s">
        <v>883</v>
      </c>
      <c r="M63" s="659">
        <v>230</v>
      </c>
      <c r="N63" s="659">
        <v>1035</v>
      </c>
      <c r="O63" s="659">
        <v>0</v>
      </c>
      <c r="P63" s="659">
        <v>0</v>
      </c>
      <c r="Q63" s="659">
        <v>0</v>
      </c>
      <c r="R63" s="659">
        <v>2957.1428571428573</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230</v>
      </c>
      <c r="N88" s="614">
        <f t="shared" ref="N88:W88" si="5">SUM(N63:N87)</f>
        <v>1035</v>
      </c>
      <c r="O88" s="614">
        <f t="shared" si="5"/>
        <v>0</v>
      </c>
      <c r="P88" s="614">
        <f t="shared" si="5"/>
        <v>0</v>
      </c>
      <c r="Q88" s="614">
        <f t="shared" si="5"/>
        <v>0</v>
      </c>
      <c r="R88" s="614">
        <f t="shared" si="5"/>
        <v>2957.1428571428573</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230</v>
      </c>
      <c r="N90" s="614">
        <f t="shared" ref="N90:W90" si="7">SUMIF($Z$63:$Z$88,"tertiair",N63:N88)</f>
        <v>1035</v>
      </c>
      <c r="O90" s="614">
        <f t="shared" si="7"/>
        <v>0</v>
      </c>
      <c r="P90" s="614">
        <f t="shared" si="7"/>
        <v>0</v>
      </c>
      <c r="Q90" s="614">
        <f t="shared" si="7"/>
        <v>0</v>
      </c>
      <c r="R90" s="614">
        <f t="shared" si="7"/>
        <v>2957.1428571428573</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7411.7647058823522</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10588.235294117647</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23757.756501838139</v>
      </c>
      <c r="D10" s="703">
        <f ca="1">tertiair!C16</f>
        <v>0</v>
      </c>
      <c r="E10" s="703">
        <f ca="1">tertiair!D16</f>
        <v>16054.747954647808</v>
      </c>
      <c r="F10" s="703">
        <f>tertiair!E16</f>
        <v>267.38939507055704</v>
      </c>
      <c r="G10" s="703">
        <f ca="1">tertiair!F16</f>
        <v>4447.191455317683</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44527.085306874193</v>
      </c>
      <c r="S10" s="68"/>
    </row>
    <row r="11" spans="1:19" s="458" customFormat="1">
      <c r="A11" s="859" t="s">
        <v>225</v>
      </c>
      <c r="B11" s="864"/>
      <c r="C11" s="703">
        <f>huishoudens!B8</f>
        <v>20490.989495984417</v>
      </c>
      <c r="D11" s="703">
        <f>huishoudens!C8</f>
        <v>0</v>
      </c>
      <c r="E11" s="703">
        <f>huishoudens!D8</f>
        <v>54363.092380128372</v>
      </c>
      <c r="F11" s="703">
        <f>huishoudens!E8</f>
        <v>8474.9849656632396</v>
      </c>
      <c r="G11" s="703">
        <f>huishoudens!F8</f>
        <v>10647.69358583024</v>
      </c>
      <c r="H11" s="703">
        <f>huishoudens!G8</f>
        <v>0</v>
      </c>
      <c r="I11" s="703">
        <f>huishoudens!H8</f>
        <v>0</v>
      </c>
      <c r="J11" s="703">
        <f>huishoudens!I8</f>
        <v>0</v>
      </c>
      <c r="K11" s="703">
        <f>huishoudens!J8</f>
        <v>50.491230114415956</v>
      </c>
      <c r="L11" s="703">
        <f>huishoudens!K8</f>
        <v>0</v>
      </c>
      <c r="M11" s="703">
        <f>huishoudens!L8</f>
        <v>0</v>
      </c>
      <c r="N11" s="703">
        <f>huishoudens!M8</f>
        <v>0</v>
      </c>
      <c r="O11" s="703">
        <f>huishoudens!N8</f>
        <v>18175.482370813086</v>
      </c>
      <c r="P11" s="703">
        <f>huishoudens!O8</f>
        <v>192.29000000000002</v>
      </c>
      <c r="Q11" s="704">
        <f>huishoudens!P8</f>
        <v>343.2</v>
      </c>
      <c r="R11" s="706">
        <f>SUM(C11:Q11)</f>
        <v>112738.22402853378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73629.512119018284</v>
      </c>
      <c r="D13" s="703">
        <f>industrie!C18</f>
        <v>0</v>
      </c>
      <c r="E13" s="703">
        <f>industrie!D18</f>
        <v>109388.66570336712</v>
      </c>
      <c r="F13" s="703">
        <f>industrie!E18</f>
        <v>680.22619947836267</v>
      </c>
      <c r="G13" s="703">
        <f>industrie!F18</f>
        <v>13519.612595784478</v>
      </c>
      <c r="H13" s="703">
        <f>industrie!G18</f>
        <v>0</v>
      </c>
      <c r="I13" s="703">
        <f>industrie!H18</f>
        <v>0</v>
      </c>
      <c r="J13" s="703">
        <f>industrie!I18</f>
        <v>0</v>
      </c>
      <c r="K13" s="703">
        <f>industrie!J18</f>
        <v>230.81816099179048</v>
      </c>
      <c r="L13" s="703">
        <f>industrie!K18</f>
        <v>0</v>
      </c>
      <c r="M13" s="703">
        <f>industrie!L18</f>
        <v>0</v>
      </c>
      <c r="N13" s="703">
        <f>industrie!M18</f>
        <v>0</v>
      </c>
      <c r="O13" s="703">
        <f>industrie!N18</f>
        <v>1987.1043928749023</v>
      </c>
      <c r="P13" s="703">
        <f>industrie!O18</f>
        <v>0</v>
      </c>
      <c r="Q13" s="704">
        <f>industrie!P18</f>
        <v>0</v>
      </c>
      <c r="R13" s="706">
        <f>SUM(C13:Q13)</f>
        <v>199435.93917151494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117878.25811684084</v>
      </c>
      <c r="D15" s="708">
        <f t="shared" ref="D15:Q15" ca="1" si="0">SUM(D9:D14)</f>
        <v>0</v>
      </c>
      <c r="E15" s="708">
        <f t="shared" ca="1" si="0"/>
        <v>179806.5060381433</v>
      </c>
      <c r="F15" s="708">
        <f t="shared" si="0"/>
        <v>9422.6005602121586</v>
      </c>
      <c r="G15" s="708">
        <f t="shared" ca="1" si="0"/>
        <v>28614.497636932399</v>
      </c>
      <c r="H15" s="708">
        <f t="shared" si="0"/>
        <v>0</v>
      </c>
      <c r="I15" s="708">
        <f t="shared" si="0"/>
        <v>0</v>
      </c>
      <c r="J15" s="708">
        <f t="shared" si="0"/>
        <v>0</v>
      </c>
      <c r="K15" s="708">
        <f t="shared" si="0"/>
        <v>281.30939110620642</v>
      </c>
      <c r="L15" s="708">
        <f t="shared" si="0"/>
        <v>0</v>
      </c>
      <c r="M15" s="708">
        <f t="shared" ca="1" si="0"/>
        <v>0</v>
      </c>
      <c r="N15" s="708">
        <f t="shared" si="0"/>
        <v>0</v>
      </c>
      <c r="O15" s="708">
        <f t="shared" ca="1" si="0"/>
        <v>20162.586763687988</v>
      </c>
      <c r="P15" s="708">
        <f t="shared" si="0"/>
        <v>192.29000000000002</v>
      </c>
      <c r="Q15" s="709">
        <f t="shared" si="0"/>
        <v>343.2</v>
      </c>
      <c r="R15" s="710">
        <f ca="1">SUM(R9:R14)</f>
        <v>356701.24850692292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692.73062007001533</v>
      </c>
      <c r="I18" s="703">
        <f>transport!H54</f>
        <v>0</v>
      </c>
      <c r="J18" s="703">
        <f>transport!I54</f>
        <v>0</v>
      </c>
      <c r="K18" s="703">
        <f>transport!J54</f>
        <v>0</v>
      </c>
      <c r="L18" s="703">
        <f>transport!K54</f>
        <v>0</v>
      </c>
      <c r="M18" s="703">
        <f>transport!L54</f>
        <v>0</v>
      </c>
      <c r="N18" s="703">
        <f>transport!M54</f>
        <v>30.418944257911221</v>
      </c>
      <c r="O18" s="703">
        <f>transport!N54</f>
        <v>0</v>
      </c>
      <c r="P18" s="703">
        <f>transport!O54</f>
        <v>0</v>
      </c>
      <c r="Q18" s="704">
        <f>transport!P54</f>
        <v>0</v>
      </c>
      <c r="R18" s="706">
        <f>SUM(C18:Q18)</f>
        <v>723.14956432792656</v>
      </c>
      <c r="S18" s="68"/>
    </row>
    <row r="19" spans="1:19" s="458" customFormat="1" ht="15" thickBot="1">
      <c r="A19" s="859" t="s">
        <v>307</v>
      </c>
      <c r="B19" s="864"/>
      <c r="C19" s="712">
        <f>transport!B14</f>
        <v>3.0632584231398781</v>
      </c>
      <c r="D19" s="712">
        <f>transport!C14</f>
        <v>0</v>
      </c>
      <c r="E19" s="712">
        <f>transport!D14</f>
        <v>7.901495825538527</v>
      </c>
      <c r="F19" s="712">
        <f>transport!E14</f>
        <v>514.85030021688431</v>
      </c>
      <c r="G19" s="712">
        <f>transport!F14</f>
        <v>0</v>
      </c>
      <c r="H19" s="712">
        <f>transport!G14</f>
        <v>110068.77923615745</v>
      </c>
      <c r="I19" s="712">
        <f>transport!H14</f>
        <v>18118.64051733835</v>
      </c>
      <c r="J19" s="712">
        <f>transport!I14</f>
        <v>0</v>
      </c>
      <c r="K19" s="712">
        <f>transport!J14</f>
        <v>0</v>
      </c>
      <c r="L19" s="712">
        <f>transport!K14</f>
        <v>0</v>
      </c>
      <c r="M19" s="712">
        <f>transport!L14</f>
        <v>0</v>
      </c>
      <c r="N19" s="712">
        <f>transport!M14</f>
        <v>5730.2108652293482</v>
      </c>
      <c r="O19" s="712">
        <f>transport!N14</f>
        <v>0</v>
      </c>
      <c r="P19" s="712">
        <f>transport!O14</f>
        <v>0</v>
      </c>
      <c r="Q19" s="713">
        <f>transport!P14</f>
        <v>0</v>
      </c>
      <c r="R19" s="714">
        <f>SUM(C19:Q19)</f>
        <v>134443.44567319073</v>
      </c>
      <c r="S19" s="68"/>
    </row>
    <row r="20" spans="1:19" s="458" customFormat="1" ht="15.75" thickBot="1">
      <c r="A20" s="715" t="s">
        <v>230</v>
      </c>
      <c r="B20" s="867"/>
      <c r="C20" s="862">
        <f>SUM(C17:C19)</f>
        <v>3.0632584231398781</v>
      </c>
      <c r="D20" s="716">
        <f t="shared" ref="D20:R20" si="1">SUM(D17:D19)</f>
        <v>0</v>
      </c>
      <c r="E20" s="716">
        <f t="shared" si="1"/>
        <v>7.901495825538527</v>
      </c>
      <c r="F20" s="716">
        <f t="shared" si="1"/>
        <v>514.85030021688431</v>
      </c>
      <c r="G20" s="716">
        <f t="shared" si="1"/>
        <v>0</v>
      </c>
      <c r="H20" s="716">
        <f t="shared" si="1"/>
        <v>110761.50985622747</v>
      </c>
      <c r="I20" s="716">
        <f t="shared" si="1"/>
        <v>18118.64051733835</v>
      </c>
      <c r="J20" s="716">
        <f t="shared" si="1"/>
        <v>0</v>
      </c>
      <c r="K20" s="716">
        <f t="shared" si="1"/>
        <v>0</v>
      </c>
      <c r="L20" s="716">
        <f t="shared" si="1"/>
        <v>0</v>
      </c>
      <c r="M20" s="716">
        <f t="shared" si="1"/>
        <v>0</v>
      </c>
      <c r="N20" s="716">
        <f t="shared" si="1"/>
        <v>5760.6298094872591</v>
      </c>
      <c r="O20" s="716">
        <f t="shared" si="1"/>
        <v>0</v>
      </c>
      <c r="P20" s="716">
        <f t="shared" si="1"/>
        <v>0</v>
      </c>
      <c r="Q20" s="717">
        <f t="shared" si="1"/>
        <v>0</v>
      </c>
      <c r="R20" s="718">
        <f t="shared" si="1"/>
        <v>135166.59523751866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520.17605657538104</v>
      </c>
      <c r="D22" s="712">
        <f>+landbouw!C8</f>
        <v>9000</v>
      </c>
      <c r="E22" s="712">
        <f>+landbouw!D8</f>
        <v>4734.317488210283</v>
      </c>
      <c r="F22" s="712">
        <f>+landbouw!E8</f>
        <v>4.9004069823308383</v>
      </c>
      <c r="G22" s="712">
        <f>+landbouw!F8</f>
        <v>1697.5071038776043</v>
      </c>
      <c r="H22" s="712">
        <f>+landbouw!G8</f>
        <v>0</v>
      </c>
      <c r="I22" s="712">
        <f>+landbouw!H8</f>
        <v>0</v>
      </c>
      <c r="J22" s="712">
        <f>+landbouw!I8</f>
        <v>0</v>
      </c>
      <c r="K22" s="712">
        <f>+landbouw!J8</f>
        <v>64.348308334227809</v>
      </c>
      <c r="L22" s="712">
        <f>+landbouw!K8</f>
        <v>0</v>
      </c>
      <c r="M22" s="712">
        <f>+landbouw!L8</f>
        <v>0</v>
      </c>
      <c r="N22" s="712">
        <f>+landbouw!M8</f>
        <v>0</v>
      </c>
      <c r="O22" s="712">
        <f>+landbouw!N8</f>
        <v>0</v>
      </c>
      <c r="P22" s="712">
        <f>+landbouw!O8</f>
        <v>0</v>
      </c>
      <c r="Q22" s="713">
        <f>+landbouw!P8</f>
        <v>0</v>
      </c>
      <c r="R22" s="714">
        <f>SUM(C22:Q22)</f>
        <v>16021.249363979827</v>
      </c>
      <c r="S22" s="68"/>
    </row>
    <row r="23" spans="1:19" s="458" customFormat="1" ht="17.25" thickTop="1" thickBot="1">
      <c r="A23" s="719" t="s">
        <v>116</v>
      </c>
      <c r="B23" s="853"/>
      <c r="C23" s="720">
        <f ca="1">C20+C15+C22</f>
        <v>118401.49743183935</v>
      </c>
      <c r="D23" s="720">
        <f t="shared" ref="D23:Q23" ca="1" si="2">D20+D15+D22</f>
        <v>9000</v>
      </c>
      <c r="E23" s="720">
        <f t="shared" ca="1" si="2"/>
        <v>184548.7250221791</v>
      </c>
      <c r="F23" s="720">
        <f t="shared" si="2"/>
        <v>9942.3512674113736</v>
      </c>
      <c r="G23" s="720">
        <f t="shared" ca="1" si="2"/>
        <v>30312.004740810004</v>
      </c>
      <c r="H23" s="720">
        <f t="shared" si="2"/>
        <v>110761.50985622747</v>
      </c>
      <c r="I23" s="720">
        <f t="shared" si="2"/>
        <v>18118.64051733835</v>
      </c>
      <c r="J23" s="720">
        <f t="shared" si="2"/>
        <v>0</v>
      </c>
      <c r="K23" s="720">
        <f t="shared" si="2"/>
        <v>345.65769944043421</v>
      </c>
      <c r="L23" s="720">
        <f t="shared" si="2"/>
        <v>0</v>
      </c>
      <c r="M23" s="720">
        <f t="shared" ca="1" si="2"/>
        <v>0</v>
      </c>
      <c r="N23" s="720">
        <f t="shared" si="2"/>
        <v>5760.6298094872591</v>
      </c>
      <c r="O23" s="720">
        <f t="shared" ca="1" si="2"/>
        <v>20162.586763687988</v>
      </c>
      <c r="P23" s="720">
        <f t="shared" si="2"/>
        <v>192.29000000000002</v>
      </c>
      <c r="Q23" s="721">
        <f t="shared" si="2"/>
        <v>343.2</v>
      </c>
      <c r="R23" s="722">
        <f ca="1">R20+R15+R22</f>
        <v>507889.09310842142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4921.7610192244138</v>
      </c>
      <c r="D36" s="703">
        <f ca="1">tertiair!C20</f>
        <v>0</v>
      </c>
      <c r="E36" s="703">
        <f ca="1">tertiair!D20</f>
        <v>3243.0590868388576</v>
      </c>
      <c r="F36" s="703">
        <f>tertiair!E20</f>
        <v>60.697392681016453</v>
      </c>
      <c r="G36" s="703">
        <f ca="1">tertiair!F20</f>
        <v>1187.4001185698214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9412.9176173141095</v>
      </c>
    </row>
    <row r="37" spans="1:18">
      <c r="A37" s="874" t="s">
        <v>225</v>
      </c>
      <c r="B37" s="881"/>
      <c r="C37" s="703">
        <f ca="1">huishoudens!B12</f>
        <v>4245.0032408939833</v>
      </c>
      <c r="D37" s="703">
        <f ca="1">huishoudens!C12</f>
        <v>0</v>
      </c>
      <c r="E37" s="703">
        <f>huishoudens!D12</f>
        <v>10981.344660785931</v>
      </c>
      <c r="F37" s="703">
        <f>huishoudens!E12</f>
        <v>1923.8215872055555</v>
      </c>
      <c r="G37" s="703">
        <f>huishoudens!F12</f>
        <v>2842.9341874166744</v>
      </c>
      <c r="H37" s="703">
        <f>huishoudens!G12</f>
        <v>0</v>
      </c>
      <c r="I37" s="703">
        <f>huishoudens!H12</f>
        <v>0</v>
      </c>
      <c r="J37" s="703">
        <f>huishoudens!I12</f>
        <v>0</v>
      </c>
      <c r="K37" s="703">
        <f>huishoudens!J12</f>
        <v>17.873895460503249</v>
      </c>
      <c r="L37" s="703">
        <f>huishoudens!K12</f>
        <v>0</v>
      </c>
      <c r="M37" s="703">
        <f>huishoudens!L12</f>
        <v>0</v>
      </c>
      <c r="N37" s="703">
        <f>huishoudens!M12</f>
        <v>0</v>
      </c>
      <c r="O37" s="703">
        <f>huishoudens!N12</f>
        <v>0</v>
      </c>
      <c r="P37" s="703">
        <f>huishoudens!O12</f>
        <v>0</v>
      </c>
      <c r="Q37" s="813">
        <f>huishoudens!P12</f>
        <v>0</v>
      </c>
      <c r="R37" s="906">
        <f ca="1">SUM(C37:Q37)</f>
        <v>20010.977571762647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15253.412610060963</v>
      </c>
      <c r="D39" s="703">
        <f ca="1">industrie!C22</f>
        <v>0</v>
      </c>
      <c r="E39" s="703">
        <f>industrie!D22</f>
        <v>22096.510472080161</v>
      </c>
      <c r="F39" s="703">
        <f>industrie!E22</f>
        <v>154.41134728158832</v>
      </c>
      <c r="G39" s="703">
        <f>industrie!F22</f>
        <v>3609.7365630744557</v>
      </c>
      <c r="H39" s="703">
        <f>industrie!G22</f>
        <v>0</v>
      </c>
      <c r="I39" s="703">
        <f>industrie!H22</f>
        <v>0</v>
      </c>
      <c r="J39" s="703">
        <f>industrie!I22</f>
        <v>0</v>
      </c>
      <c r="K39" s="703">
        <f>industrie!J22</f>
        <v>81.709628991093822</v>
      </c>
      <c r="L39" s="703">
        <f>industrie!K22</f>
        <v>0</v>
      </c>
      <c r="M39" s="703">
        <f>industrie!L22</f>
        <v>0</v>
      </c>
      <c r="N39" s="703">
        <f>industrie!M22</f>
        <v>0</v>
      </c>
      <c r="O39" s="703">
        <f>industrie!N22</f>
        <v>0</v>
      </c>
      <c r="P39" s="703">
        <f>industrie!O22</f>
        <v>0</v>
      </c>
      <c r="Q39" s="813">
        <f>industrie!P22</f>
        <v>0</v>
      </c>
      <c r="R39" s="907">
        <f ca="1">SUM(C39:Q39)</f>
        <v>41195.780621488258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24420.176870179363</v>
      </c>
      <c r="D41" s="748">
        <f t="shared" ref="D41:R41" ca="1" si="4">SUM(D35:D40)</f>
        <v>0</v>
      </c>
      <c r="E41" s="748">
        <f t="shared" ca="1" si="4"/>
        <v>36320.914219704951</v>
      </c>
      <c r="F41" s="748">
        <f t="shared" si="4"/>
        <v>2138.9303271681601</v>
      </c>
      <c r="G41" s="748">
        <f t="shared" ca="1" si="4"/>
        <v>7640.0708690609517</v>
      </c>
      <c r="H41" s="748">
        <f t="shared" si="4"/>
        <v>0</v>
      </c>
      <c r="I41" s="748">
        <f t="shared" si="4"/>
        <v>0</v>
      </c>
      <c r="J41" s="748">
        <f t="shared" si="4"/>
        <v>0</v>
      </c>
      <c r="K41" s="748">
        <f t="shared" si="4"/>
        <v>99.583524451597071</v>
      </c>
      <c r="L41" s="748">
        <f t="shared" si="4"/>
        <v>0</v>
      </c>
      <c r="M41" s="748">
        <f t="shared" ca="1" si="4"/>
        <v>0</v>
      </c>
      <c r="N41" s="748">
        <f t="shared" si="4"/>
        <v>0</v>
      </c>
      <c r="O41" s="748">
        <f t="shared" ca="1" si="4"/>
        <v>0</v>
      </c>
      <c r="P41" s="748">
        <f t="shared" si="4"/>
        <v>0</v>
      </c>
      <c r="Q41" s="749">
        <f t="shared" si="4"/>
        <v>0</v>
      </c>
      <c r="R41" s="750">
        <f t="shared" ca="1" si="4"/>
        <v>70619.675810565008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184.95907555869411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184.95907555869411</v>
      </c>
    </row>
    <row r="45" spans="1:18" ht="15" thickBot="1">
      <c r="A45" s="877" t="s">
        <v>307</v>
      </c>
      <c r="B45" s="887"/>
      <c r="C45" s="712">
        <f ca="1">transport!B18</f>
        <v>0.63459804791139329</v>
      </c>
      <c r="D45" s="712">
        <f>transport!C18</f>
        <v>0</v>
      </c>
      <c r="E45" s="712">
        <f>transport!D18</f>
        <v>1.5961021567587825</v>
      </c>
      <c r="F45" s="712">
        <f>transport!E18</f>
        <v>116.87101814923274</v>
      </c>
      <c r="G45" s="712">
        <f>transport!F18</f>
        <v>0</v>
      </c>
      <c r="H45" s="712">
        <f>transport!G18</f>
        <v>29388.364056054041</v>
      </c>
      <c r="I45" s="712">
        <f>transport!H18</f>
        <v>4511.541488817249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34019.007263225198</v>
      </c>
    </row>
    <row r="46" spans="1:18" ht="15.75" thickBot="1">
      <c r="A46" s="875" t="s">
        <v>230</v>
      </c>
      <c r="B46" s="888"/>
      <c r="C46" s="748">
        <f t="shared" ref="C46:R46" ca="1" si="5">SUM(C43:C45)</f>
        <v>0.63459804791139329</v>
      </c>
      <c r="D46" s="748">
        <f t="shared" ca="1" si="5"/>
        <v>0</v>
      </c>
      <c r="E46" s="748">
        <f t="shared" si="5"/>
        <v>1.5961021567587825</v>
      </c>
      <c r="F46" s="748">
        <f t="shared" si="5"/>
        <v>116.87101814923274</v>
      </c>
      <c r="G46" s="748">
        <f t="shared" si="5"/>
        <v>0</v>
      </c>
      <c r="H46" s="748">
        <f t="shared" si="5"/>
        <v>29573.323131612735</v>
      </c>
      <c r="I46" s="748">
        <f t="shared" si="5"/>
        <v>4511.541488817249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34203.966338783888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107.76195295159717</v>
      </c>
      <c r="D48" s="703">
        <f ca="1">+landbouw!C12</f>
        <v>2138.8235294117649</v>
      </c>
      <c r="E48" s="703">
        <f>+landbouw!D12</f>
        <v>956.3321326184772</v>
      </c>
      <c r="F48" s="703">
        <f>+landbouw!E12</f>
        <v>1.1123923849891004</v>
      </c>
      <c r="G48" s="703">
        <f>+landbouw!F12</f>
        <v>453.23439673532039</v>
      </c>
      <c r="H48" s="703">
        <f>+landbouw!G12</f>
        <v>0</v>
      </c>
      <c r="I48" s="703">
        <f>+landbouw!H12</f>
        <v>0</v>
      </c>
      <c r="J48" s="703">
        <f>+landbouw!I12</f>
        <v>0</v>
      </c>
      <c r="K48" s="703">
        <f>+landbouw!J12</f>
        <v>22.779301150316645</v>
      </c>
      <c r="L48" s="703">
        <f>+landbouw!K12</f>
        <v>0</v>
      </c>
      <c r="M48" s="703">
        <f>+landbouw!L12</f>
        <v>0</v>
      </c>
      <c r="N48" s="703">
        <f>+landbouw!M12</f>
        <v>0</v>
      </c>
      <c r="O48" s="703">
        <f>+landbouw!N12</f>
        <v>0</v>
      </c>
      <c r="P48" s="703">
        <f>+landbouw!O12</f>
        <v>0</v>
      </c>
      <c r="Q48" s="704">
        <f>+landbouw!P12</f>
        <v>0</v>
      </c>
      <c r="R48" s="746">
        <f ca="1">SUM(C48:Q48)</f>
        <v>3680.0437052524658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24528.573421178873</v>
      </c>
      <c r="D53" s="758">
        <f t="shared" ref="D53:Q53" ca="1" si="6">D41+D46+D48</f>
        <v>2138.8235294117649</v>
      </c>
      <c r="E53" s="758">
        <f t="shared" ca="1" si="6"/>
        <v>37278.842454480182</v>
      </c>
      <c r="F53" s="758">
        <f t="shared" si="6"/>
        <v>2256.9137377023822</v>
      </c>
      <c r="G53" s="758">
        <f t="shared" ca="1" si="6"/>
        <v>8093.3052657962726</v>
      </c>
      <c r="H53" s="758">
        <f t="shared" si="6"/>
        <v>29573.323131612735</v>
      </c>
      <c r="I53" s="758">
        <f t="shared" si="6"/>
        <v>4511.541488817249</v>
      </c>
      <c r="J53" s="758">
        <f t="shared" si="6"/>
        <v>0</v>
      </c>
      <c r="K53" s="758">
        <f t="shared" si="6"/>
        <v>122.36282560191371</v>
      </c>
      <c r="L53" s="758">
        <f t="shared" si="6"/>
        <v>0</v>
      </c>
      <c r="M53" s="758">
        <f t="shared" ca="1" si="6"/>
        <v>0</v>
      </c>
      <c r="N53" s="758">
        <f t="shared" si="6"/>
        <v>0</v>
      </c>
      <c r="O53" s="758">
        <f t="shared" ca="1" si="6"/>
        <v>0</v>
      </c>
      <c r="P53" s="758">
        <f>P41+P46+P48</f>
        <v>0</v>
      </c>
      <c r="Q53" s="759">
        <f t="shared" si="6"/>
        <v>0</v>
      </c>
      <c r="R53" s="760">
        <f ca="1">R41+R46+R48</f>
        <v>108503.68585460135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0.20716438519115293</v>
      </c>
      <c r="D55" s="824">
        <f t="shared" ca="1" si="7"/>
        <v>0.23764705882352943</v>
      </c>
      <c r="E55" s="824">
        <f t="shared" ca="1" si="7"/>
        <v>0.20200000000000001</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6852.0315920627254</v>
      </c>
      <c r="C66" s="780">
        <f>'lokale energieproductie'!B6</f>
        <v>6852.0315920627254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6300</v>
      </c>
      <c r="C67" s="779">
        <f>B67*IFERROR(SUM(J67:L67)/SUM(D67:M67),0)</f>
        <v>0</v>
      </c>
      <c r="D67" s="811">
        <f>'lokale energieproductie'!C7</f>
        <v>7411.7647058823522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1497.1764705882354</v>
      </c>
      <c r="P67" s="911">
        <v>0</v>
      </c>
      <c r="Q67" s="770"/>
      <c r="R67" s="727"/>
    </row>
    <row r="68" spans="1:18" ht="30.75" thickBot="1">
      <c r="A68" s="786" t="s">
        <v>353</v>
      </c>
      <c r="B68" s="779">
        <f>'lokale energieproductie'!B8</f>
        <v>1035</v>
      </c>
      <c r="C68" s="779">
        <f>B68*IFERROR(SUM(J68:L68)/SUM(D68:M68),0)</f>
        <v>1035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2957.1428571428573</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14187.031592062725</v>
      </c>
      <c r="C69" s="788">
        <f>SUM(C64:C68)</f>
        <v>7887.0315920627254</v>
      </c>
      <c r="D69" s="789">
        <f t="shared" ref="D69:M69" si="8">SUM(D67:D68)</f>
        <v>7411.7647058823522</v>
      </c>
      <c r="E69" s="789">
        <f t="shared" si="8"/>
        <v>0</v>
      </c>
      <c r="F69" s="789">
        <f t="shared" si="8"/>
        <v>0</v>
      </c>
      <c r="G69" s="789">
        <f t="shared" si="8"/>
        <v>0</v>
      </c>
      <c r="H69" s="789">
        <f t="shared" si="8"/>
        <v>0</v>
      </c>
      <c r="I69" s="789">
        <f t="shared" si="8"/>
        <v>0</v>
      </c>
      <c r="J69" s="789">
        <f t="shared" si="8"/>
        <v>0</v>
      </c>
      <c r="K69" s="789">
        <f t="shared" si="8"/>
        <v>2957.1428571428573</v>
      </c>
      <c r="L69" s="789">
        <f t="shared" si="8"/>
        <v>0</v>
      </c>
      <c r="M69" s="919">
        <f t="shared" si="8"/>
        <v>0</v>
      </c>
      <c r="N69" s="790">
        <v>0</v>
      </c>
      <c r="O69" s="790">
        <f>SUM(O67:O68)</f>
        <v>1497.1764705882354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9000</v>
      </c>
      <c r="C78" s="802">
        <f>B78*IFERROR(SUM(I78:L78)/SUM(D78:M78),0)</f>
        <v>0</v>
      </c>
      <c r="D78" s="817">
        <f>'lokale energieproductie'!C16</f>
        <v>10588.235294117647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2138.8235294117649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9000</v>
      </c>
      <c r="C81" s="788">
        <f>SUM(C78:C80)</f>
        <v>0</v>
      </c>
      <c r="D81" s="788">
        <f t="shared" ref="D81:P81" si="9">SUM(D78:D80)</f>
        <v>10588.235294117647</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2138.8235294117649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20490.989495984417</v>
      </c>
      <c r="C4" s="462">
        <f>huishoudens!C8</f>
        <v>0</v>
      </c>
      <c r="D4" s="462">
        <f>huishoudens!D8</f>
        <v>54363.092380128372</v>
      </c>
      <c r="E4" s="462">
        <f>huishoudens!E8</f>
        <v>8474.9849656632396</v>
      </c>
      <c r="F4" s="462">
        <f>huishoudens!F8</f>
        <v>10647.69358583024</v>
      </c>
      <c r="G4" s="462">
        <f>huishoudens!G8</f>
        <v>0</v>
      </c>
      <c r="H4" s="462">
        <f>huishoudens!H8</f>
        <v>0</v>
      </c>
      <c r="I4" s="462">
        <f>huishoudens!I8</f>
        <v>0</v>
      </c>
      <c r="J4" s="462">
        <f>huishoudens!J8</f>
        <v>50.491230114415956</v>
      </c>
      <c r="K4" s="462">
        <f>huishoudens!K8</f>
        <v>0</v>
      </c>
      <c r="L4" s="462">
        <f>huishoudens!L8</f>
        <v>0</v>
      </c>
      <c r="M4" s="462">
        <f>huishoudens!M8</f>
        <v>0</v>
      </c>
      <c r="N4" s="462">
        <f>huishoudens!N8</f>
        <v>18175.482370813086</v>
      </c>
      <c r="O4" s="462">
        <f>huishoudens!O8</f>
        <v>192.29000000000002</v>
      </c>
      <c r="P4" s="463">
        <f>huishoudens!P8</f>
        <v>343.2</v>
      </c>
      <c r="Q4" s="464">
        <f>SUM(B4:P4)</f>
        <v>112738.22402853378</v>
      </c>
    </row>
    <row r="5" spans="1:17">
      <c r="A5" s="461" t="s">
        <v>156</v>
      </c>
      <c r="B5" s="462">
        <f ca="1">tertiair!B16</f>
        <v>23114.90250183814</v>
      </c>
      <c r="C5" s="462">
        <f ca="1">tertiair!C16</f>
        <v>0</v>
      </c>
      <c r="D5" s="462">
        <f ca="1">tertiair!D16</f>
        <v>16054.747954647808</v>
      </c>
      <c r="E5" s="462">
        <f>tertiair!E16</f>
        <v>267.38939507055704</v>
      </c>
      <c r="F5" s="462">
        <f ca="1">tertiair!F16</f>
        <v>4447.191455317683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43884.231306874193</v>
      </c>
    </row>
    <row r="6" spans="1:17">
      <c r="A6" s="461" t="s">
        <v>194</v>
      </c>
      <c r="B6" s="462">
        <f>'openbare verlichting'!B8</f>
        <v>642.85400000000004</v>
      </c>
      <c r="C6" s="462"/>
      <c r="D6" s="462"/>
      <c r="E6" s="462"/>
      <c r="F6" s="462"/>
      <c r="G6" s="462"/>
      <c r="H6" s="462"/>
      <c r="I6" s="462"/>
      <c r="J6" s="462"/>
      <c r="K6" s="462"/>
      <c r="L6" s="462"/>
      <c r="M6" s="462"/>
      <c r="N6" s="462"/>
      <c r="O6" s="462"/>
      <c r="P6" s="463"/>
      <c r="Q6" s="461">
        <f t="shared" si="0"/>
        <v>642.85400000000004</v>
      </c>
    </row>
    <row r="7" spans="1:17">
      <c r="A7" s="461" t="s">
        <v>112</v>
      </c>
      <c r="B7" s="462">
        <f>landbouw!B8</f>
        <v>520.17605657538104</v>
      </c>
      <c r="C7" s="462">
        <f>landbouw!C8</f>
        <v>9000</v>
      </c>
      <c r="D7" s="462">
        <f>landbouw!D8</f>
        <v>4734.317488210283</v>
      </c>
      <c r="E7" s="462">
        <f>landbouw!E8</f>
        <v>4.9004069823308383</v>
      </c>
      <c r="F7" s="462">
        <f>landbouw!F8</f>
        <v>1697.5071038776043</v>
      </c>
      <c r="G7" s="462">
        <f>landbouw!G8</f>
        <v>0</v>
      </c>
      <c r="H7" s="462">
        <f>landbouw!H8</f>
        <v>0</v>
      </c>
      <c r="I7" s="462">
        <f>landbouw!I8</f>
        <v>0</v>
      </c>
      <c r="J7" s="462">
        <f>landbouw!J8</f>
        <v>64.348308334227809</v>
      </c>
      <c r="K7" s="462">
        <f>landbouw!K8</f>
        <v>0</v>
      </c>
      <c r="L7" s="462">
        <f>landbouw!L8</f>
        <v>0</v>
      </c>
      <c r="M7" s="462">
        <f>landbouw!M8</f>
        <v>0</v>
      </c>
      <c r="N7" s="462">
        <f>landbouw!N8</f>
        <v>0</v>
      </c>
      <c r="O7" s="462">
        <f>landbouw!O8</f>
        <v>0</v>
      </c>
      <c r="P7" s="463">
        <f>landbouw!P8</f>
        <v>0</v>
      </c>
      <c r="Q7" s="461">
        <f t="shared" si="0"/>
        <v>16021.249363979827</v>
      </c>
    </row>
    <row r="8" spans="1:17">
      <c r="A8" s="461" t="s">
        <v>685</v>
      </c>
      <c r="B8" s="462">
        <f>industrie!B18</f>
        <v>73629.512119018284</v>
      </c>
      <c r="C8" s="462">
        <f>industrie!C18</f>
        <v>0</v>
      </c>
      <c r="D8" s="462">
        <f>industrie!D18</f>
        <v>109388.66570336712</v>
      </c>
      <c r="E8" s="462">
        <f>industrie!E18</f>
        <v>680.22619947836267</v>
      </c>
      <c r="F8" s="462">
        <f>industrie!F18</f>
        <v>13519.612595784478</v>
      </c>
      <c r="G8" s="462">
        <f>industrie!G18</f>
        <v>0</v>
      </c>
      <c r="H8" s="462">
        <f>industrie!H18</f>
        <v>0</v>
      </c>
      <c r="I8" s="462">
        <f>industrie!I18</f>
        <v>0</v>
      </c>
      <c r="J8" s="462">
        <f>industrie!J18</f>
        <v>230.81816099179048</v>
      </c>
      <c r="K8" s="462">
        <f>industrie!K18</f>
        <v>0</v>
      </c>
      <c r="L8" s="462">
        <f>industrie!L18</f>
        <v>0</v>
      </c>
      <c r="M8" s="462">
        <f>industrie!M18</f>
        <v>0</v>
      </c>
      <c r="N8" s="462">
        <f>industrie!N18</f>
        <v>1987.1043928749023</v>
      </c>
      <c r="O8" s="462">
        <f>industrie!O18</f>
        <v>0</v>
      </c>
      <c r="P8" s="463">
        <f>industrie!P18</f>
        <v>0</v>
      </c>
      <c r="Q8" s="461">
        <f t="shared" si="0"/>
        <v>199435.93917151494</v>
      </c>
    </row>
    <row r="9" spans="1:17" s="467" customFormat="1">
      <c r="A9" s="465" t="s">
        <v>579</v>
      </c>
      <c r="B9" s="466">
        <f>transport!B14</f>
        <v>3.0632584231398781</v>
      </c>
      <c r="C9" s="466">
        <f>transport!C14</f>
        <v>0</v>
      </c>
      <c r="D9" s="466">
        <f>transport!D14</f>
        <v>7.901495825538527</v>
      </c>
      <c r="E9" s="466">
        <f>transport!E14</f>
        <v>514.85030021688431</v>
      </c>
      <c r="F9" s="466">
        <f>transport!F14</f>
        <v>0</v>
      </c>
      <c r="G9" s="466">
        <f>transport!G14</f>
        <v>110068.77923615745</v>
      </c>
      <c r="H9" s="466">
        <f>transport!H14</f>
        <v>18118.64051733835</v>
      </c>
      <c r="I9" s="466">
        <f>transport!I14</f>
        <v>0</v>
      </c>
      <c r="J9" s="466">
        <f>transport!J14</f>
        <v>0</v>
      </c>
      <c r="K9" s="466">
        <f>transport!K14</f>
        <v>0</v>
      </c>
      <c r="L9" s="466">
        <f>transport!L14</f>
        <v>0</v>
      </c>
      <c r="M9" s="466">
        <f>transport!M14</f>
        <v>5730.2108652293482</v>
      </c>
      <c r="N9" s="466">
        <f>transport!N14</f>
        <v>0</v>
      </c>
      <c r="O9" s="466">
        <f>transport!O14</f>
        <v>0</v>
      </c>
      <c r="P9" s="466">
        <f>transport!P14</f>
        <v>0</v>
      </c>
      <c r="Q9" s="465">
        <f>SUM(B9:P9)</f>
        <v>134443.44567319073</v>
      </c>
    </row>
    <row r="10" spans="1:17">
      <c r="A10" s="461" t="s">
        <v>569</v>
      </c>
      <c r="B10" s="462">
        <f>transport!B54</f>
        <v>0</v>
      </c>
      <c r="C10" s="462">
        <f>transport!C54</f>
        <v>0</v>
      </c>
      <c r="D10" s="462">
        <f>transport!D54</f>
        <v>0</v>
      </c>
      <c r="E10" s="462">
        <f>transport!E54</f>
        <v>0</v>
      </c>
      <c r="F10" s="462">
        <f>transport!F54</f>
        <v>0</v>
      </c>
      <c r="G10" s="462">
        <f>transport!G54</f>
        <v>692.73062007001533</v>
      </c>
      <c r="H10" s="462">
        <f>transport!H54</f>
        <v>0</v>
      </c>
      <c r="I10" s="462">
        <f>transport!I54</f>
        <v>0</v>
      </c>
      <c r="J10" s="462">
        <f>transport!J54</f>
        <v>0</v>
      </c>
      <c r="K10" s="462">
        <f>transport!K54</f>
        <v>0</v>
      </c>
      <c r="L10" s="462">
        <f>transport!L54</f>
        <v>0</v>
      </c>
      <c r="M10" s="462">
        <f>transport!M54</f>
        <v>30.418944257911221</v>
      </c>
      <c r="N10" s="462">
        <f>transport!N54</f>
        <v>0</v>
      </c>
      <c r="O10" s="462">
        <f>transport!O54</f>
        <v>0</v>
      </c>
      <c r="P10" s="463">
        <f>transport!P54</f>
        <v>0</v>
      </c>
      <c r="Q10" s="461">
        <f t="shared" si="0"/>
        <v>723.14956432792656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118401.49743183937</v>
      </c>
      <c r="C14" s="472">
        <f t="shared" ref="C14:Q14" ca="1" si="1">SUM(C4:C13)</f>
        <v>9000</v>
      </c>
      <c r="D14" s="472">
        <f t="shared" ca="1" si="1"/>
        <v>184548.7250221791</v>
      </c>
      <c r="E14" s="472">
        <f t="shared" si="1"/>
        <v>9942.3512674113736</v>
      </c>
      <c r="F14" s="472">
        <f t="shared" ca="1" si="1"/>
        <v>30312.004740810007</v>
      </c>
      <c r="G14" s="472">
        <f t="shared" si="1"/>
        <v>110761.50985622747</v>
      </c>
      <c r="H14" s="472">
        <f t="shared" si="1"/>
        <v>18118.64051733835</v>
      </c>
      <c r="I14" s="472">
        <f t="shared" si="1"/>
        <v>0</v>
      </c>
      <c r="J14" s="472">
        <f t="shared" si="1"/>
        <v>345.65769944043427</v>
      </c>
      <c r="K14" s="472">
        <f t="shared" si="1"/>
        <v>0</v>
      </c>
      <c r="L14" s="472">
        <f t="shared" ca="1" si="1"/>
        <v>0</v>
      </c>
      <c r="M14" s="472">
        <f t="shared" si="1"/>
        <v>5760.6298094872591</v>
      </c>
      <c r="N14" s="472">
        <f t="shared" ca="1" si="1"/>
        <v>20162.586763687988</v>
      </c>
      <c r="O14" s="472">
        <f t="shared" si="1"/>
        <v>192.29000000000002</v>
      </c>
      <c r="P14" s="473">
        <f t="shared" si="1"/>
        <v>343.2</v>
      </c>
      <c r="Q14" s="473">
        <f t="shared" ca="1" si="1"/>
        <v>507889.09310842142</v>
      </c>
    </row>
    <row r="16" spans="1:17">
      <c r="A16" s="475" t="s">
        <v>574</v>
      </c>
      <c r="B16" s="829">
        <f ca="1">huishoudens!B10</f>
        <v>0.20716438519115288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4245.0032408939833</v>
      </c>
      <c r="C21" s="462">
        <f t="shared" ref="C21:C30" ca="1" si="3">C4*$C$16</f>
        <v>0</v>
      </c>
      <c r="D21" s="462">
        <f t="shared" ref="D21:D30" si="4">D4*$D$16</f>
        <v>10981.344660785931</v>
      </c>
      <c r="E21" s="462">
        <f t="shared" ref="E21:E30" si="5">E4*$E$16</f>
        <v>1923.8215872055555</v>
      </c>
      <c r="F21" s="462">
        <f t="shared" ref="F21:F30" si="6">F4*$F$16</f>
        <v>2842.9341874166744</v>
      </c>
      <c r="G21" s="462">
        <f t="shared" ref="G21:G30" si="7">G4*$G$16</f>
        <v>0</v>
      </c>
      <c r="H21" s="462">
        <f t="shared" ref="H21:H30" si="8">H4*$H$16</f>
        <v>0</v>
      </c>
      <c r="I21" s="462">
        <f t="shared" ref="I21:I30" si="9">I4*$I$16</f>
        <v>0</v>
      </c>
      <c r="J21" s="462">
        <f t="shared" ref="J21:J30" si="10">J4*$J$16</f>
        <v>17.873895460503249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20010.977571762647</v>
      </c>
    </row>
    <row r="22" spans="1:17">
      <c r="A22" s="461" t="s">
        <v>156</v>
      </c>
      <c r="B22" s="462">
        <f t="shared" ca="1" si="2"/>
        <v>4788.5845655467401</v>
      </c>
      <c r="C22" s="462">
        <f t="shared" ca="1" si="3"/>
        <v>0</v>
      </c>
      <c r="D22" s="462">
        <f t="shared" ca="1" si="4"/>
        <v>3243.0590868388576</v>
      </c>
      <c r="E22" s="462">
        <f t="shared" si="5"/>
        <v>60.697392681016453</v>
      </c>
      <c r="F22" s="462">
        <f t="shared" ca="1" si="6"/>
        <v>1187.4001185698214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9279.7411636364341</v>
      </c>
    </row>
    <row r="23" spans="1:17">
      <c r="A23" s="461" t="s">
        <v>194</v>
      </c>
      <c r="B23" s="462">
        <f t="shared" ca="1" si="2"/>
        <v>133.17645367767341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133.17645367767341</v>
      </c>
    </row>
    <row r="24" spans="1:17">
      <c r="A24" s="461" t="s">
        <v>112</v>
      </c>
      <c r="B24" s="462">
        <f t="shared" ca="1" si="2"/>
        <v>107.76195295159717</v>
      </c>
      <c r="C24" s="462">
        <f t="shared" ca="1" si="3"/>
        <v>2138.8235294117649</v>
      </c>
      <c r="D24" s="462">
        <f t="shared" si="4"/>
        <v>956.3321326184772</v>
      </c>
      <c r="E24" s="462">
        <f t="shared" si="5"/>
        <v>1.1123923849891004</v>
      </c>
      <c r="F24" s="462">
        <f t="shared" si="6"/>
        <v>453.23439673532039</v>
      </c>
      <c r="G24" s="462">
        <f t="shared" si="7"/>
        <v>0</v>
      </c>
      <c r="H24" s="462">
        <f t="shared" si="8"/>
        <v>0</v>
      </c>
      <c r="I24" s="462">
        <f t="shared" si="9"/>
        <v>0</v>
      </c>
      <c r="J24" s="462">
        <f t="shared" si="10"/>
        <v>22.779301150316645</v>
      </c>
      <c r="K24" s="462">
        <f t="shared" si="11"/>
        <v>0</v>
      </c>
      <c r="L24" s="462">
        <f t="shared" si="12"/>
        <v>0</v>
      </c>
      <c r="M24" s="462">
        <f t="shared" si="13"/>
        <v>0</v>
      </c>
      <c r="N24" s="462">
        <f t="shared" si="14"/>
        <v>0</v>
      </c>
      <c r="O24" s="462">
        <f t="shared" si="15"/>
        <v>0</v>
      </c>
      <c r="P24" s="463">
        <f t="shared" si="16"/>
        <v>0</v>
      </c>
      <c r="Q24" s="461">
        <f t="shared" ca="1" si="17"/>
        <v>3680.0437052524658</v>
      </c>
    </row>
    <row r="25" spans="1:17">
      <c r="A25" s="461" t="s">
        <v>685</v>
      </c>
      <c r="B25" s="462">
        <f t="shared" ca="1" si="2"/>
        <v>15253.412610060963</v>
      </c>
      <c r="C25" s="462">
        <f t="shared" ca="1" si="3"/>
        <v>0</v>
      </c>
      <c r="D25" s="462">
        <f t="shared" si="4"/>
        <v>22096.510472080161</v>
      </c>
      <c r="E25" s="462">
        <f t="shared" si="5"/>
        <v>154.41134728158832</v>
      </c>
      <c r="F25" s="462">
        <f t="shared" si="6"/>
        <v>3609.7365630744557</v>
      </c>
      <c r="G25" s="462">
        <f t="shared" si="7"/>
        <v>0</v>
      </c>
      <c r="H25" s="462">
        <f t="shared" si="8"/>
        <v>0</v>
      </c>
      <c r="I25" s="462">
        <f t="shared" si="9"/>
        <v>0</v>
      </c>
      <c r="J25" s="462">
        <f t="shared" si="10"/>
        <v>81.709628991093822</v>
      </c>
      <c r="K25" s="462">
        <f t="shared" si="11"/>
        <v>0</v>
      </c>
      <c r="L25" s="462">
        <f t="shared" si="12"/>
        <v>0</v>
      </c>
      <c r="M25" s="462">
        <f t="shared" si="13"/>
        <v>0</v>
      </c>
      <c r="N25" s="462">
        <f t="shared" si="14"/>
        <v>0</v>
      </c>
      <c r="O25" s="462">
        <f t="shared" si="15"/>
        <v>0</v>
      </c>
      <c r="P25" s="463">
        <f t="shared" si="16"/>
        <v>0</v>
      </c>
      <c r="Q25" s="461">
        <f t="shared" ca="1" si="17"/>
        <v>41195.780621488258</v>
      </c>
    </row>
    <row r="26" spans="1:17" s="467" customFormat="1">
      <c r="A26" s="465" t="s">
        <v>579</v>
      </c>
      <c r="B26" s="823">
        <f t="shared" ca="1" si="2"/>
        <v>0.63459804791139329</v>
      </c>
      <c r="C26" s="466">
        <f t="shared" ca="1" si="3"/>
        <v>0</v>
      </c>
      <c r="D26" s="466">
        <f t="shared" si="4"/>
        <v>1.5961021567587825</v>
      </c>
      <c r="E26" s="466">
        <f t="shared" si="5"/>
        <v>116.87101814923274</v>
      </c>
      <c r="F26" s="466">
        <f t="shared" si="6"/>
        <v>0</v>
      </c>
      <c r="G26" s="466">
        <f t="shared" si="7"/>
        <v>29388.364056054041</v>
      </c>
      <c r="H26" s="466">
        <f t="shared" si="8"/>
        <v>4511.541488817249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34019.007263225198</v>
      </c>
    </row>
    <row r="27" spans="1:17">
      <c r="A27" s="461" t="s">
        <v>569</v>
      </c>
      <c r="B27" s="462">
        <f t="shared" ca="1" si="2"/>
        <v>0</v>
      </c>
      <c r="C27" s="462">
        <f t="shared" ca="1" si="3"/>
        <v>0</v>
      </c>
      <c r="D27" s="462">
        <f t="shared" si="4"/>
        <v>0</v>
      </c>
      <c r="E27" s="462">
        <f t="shared" si="5"/>
        <v>0</v>
      </c>
      <c r="F27" s="462">
        <f t="shared" si="6"/>
        <v>0</v>
      </c>
      <c r="G27" s="462">
        <f t="shared" si="7"/>
        <v>184.95907555869411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184.95907555869411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24528.573421178869</v>
      </c>
      <c r="C31" s="472">
        <f t="shared" ca="1" si="18"/>
        <v>2138.8235294117649</v>
      </c>
      <c r="D31" s="472">
        <f t="shared" ca="1" si="18"/>
        <v>37278.842454480182</v>
      </c>
      <c r="E31" s="472">
        <f t="shared" si="18"/>
        <v>2256.9137377023822</v>
      </c>
      <c r="F31" s="472">
        <f t="shared" ca="1" si="18"/>
        <v>8093.3052657962708</v>
      </c>
      <c r="G31" s="472">
        <f t="shared" si="18"/>
        <v>29573.323131612735</v>
      </c>
      <c r="H31" s="472">
        <f t="shared" si="18"/>
        <v>4511.541488817249</v>
      </c>
      <c r="I31" s="472">
        <f t="shared" si="18"/>
        <v>0</v>
      </c>
      <c r="J31" s="472">
        <f t="shared" si="18"/>
        <v>122.36282560191371</v>
      </c>
      <c r="K31" s="472">
        <f t="shared" si="18"/>
        <v>0</v>
      </c>
      <c r="L31" s="472">
        <f t="shared" ca="1" si="18"/>
        <v>0</v>
      </c>
      <c r="M31" s="472">
        <f t="shared" si="18"/>
        <v>0</v>
      </c>
      <c r="N31" s="472">
        <f t="shared" ca="1" si="18"/>
        <v>0</v>
      </c>
      <c r="O31" s="472">
        <f t="shared" si="18"/>
        <v>0</v>
      </c>
      <c r="P31" s="473">
        <f t="shared" si="18"/>
        <v>0</v>
      </c>
      <c r="Q31" s="473">
        <f t="shared" ca="1" si="18"/>
        <v>108503.68585460137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0.20716438519115288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0.20716438519115288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0.20716438519115288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2018-06-27T09:17:25Z</dcterms:modified>
</cp:coreProperties>
</file>