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L8" i="17"/>
  <c r="M22" i="14" s="1"/>
  <c r="L5" i="17"/>
  <c r="C68" i="14"/>
  <c r="J81"/>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E7" i="48"/>
  <c r="E24" s="1"/>
  <c r="M14" i="22"/>
  <c r="M18" s="1"/>
  <c r="N45" i="14" s="1"/>
  <c r="N46" s="1"/>
  <c r="N53" s="1"/>
  <c r="I7" i="18"/>
  <c r="I9" s="1"/>
  <c r="G14" i="22"/>
  <c r="E13" i="14"/>
  <c r="J7" i="18"/>
  <c r="E10" i="14"/>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67" i="14"/>
  <c r="J5" i="48"/>
  <c r="J22" s="1"/>
  <c r="J20" i="15"/>
  <c r="K36" i="14" s="1"/>
  <c r="E15"/>
  <c r="E2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F14" s="1"/>
  <c r="Q9"/>
  <c r="E25"/>
  <c r="E31" s="1"/>
  <c r="E14"/>
  <c r="N25"/>
  <c r="N14"/>
  <c r="E22" i="16"/>
  <c r="F39" i="14" s="1"/>
  <c r="F41" s="1"/>
  <c r="F53" s="1"/>
  <c r="J22" i="16"/>
  <c r="K39" i="14" s="1"/>
  <c r="K41" s="1"/>
  <c r="K53" s="1"/>
  <c r="K55" s="1"/>
  <c r="Q8" i="48"/>
  <c r="Q14" s="1"/>
  <c r="N31"/>
  <c r="F13" i="14"/>
  <c r="F15" s="1"/>
  <c r="F23" s="1"/>
  <c r="G14" i="48"/>
  <c r="H55" i="14"/>
  <c r="M14" i="48"/>
  <c r="R19" i="14"/>
  <c r="R20" s="1"/>
  <c r="M26" i="48"/>
  <c r="M31" s="1"/>
  <c r="F55" i="14"/>
  <c r="O53"/>
  <c r="M53"/>
  <c r="M55" s="1"/>
  <c r="C12" i="13"/>
  <c r="D37" i="14" s="1"/>
  <c r="D41" s="1"/>
  <c r="C23" i="48"/>
  <c r="C24"/>
  <c r="C27"/>
  <c r="C28"/>
  <c r="C22"/>
  <c r="C25"/>
  <c r="C29"/>
  <c r="C21"/>
  <c r="C26"/>
  <c r="R13" i="14"/>
  <c r="R15" s="1"/>
  <c r="F25" i="48"/>
  <c r="F31" s="1"/>
  <c r="B18" i="15" l="1"/>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l="1"/>
  <c r="B28" s="1"/>
  <c r="Q28" s="1"/>
  <c r="R46" i="14"/>
  <c r="C36"/>
  <c r="R36" s="1"/>
  <c r="R41" s="1"/>
  <c r="C46"/>
  <c r="B29" i="48"/>
  <c r="Q29" s="1"/>
  <c r="B21" l="1"/>
  <c r="Q21" s="1"/>
  <c r="Q31" s="1"/>
  <c r="B24"/>
  <c r="Q24" s="1"/>
  <c r="B22"/>
  <c r="Q22" s="1"/>
  <c r="B30"/>
  <c r="Q30" s="1"/>
  <c r="B27"/>
  <c r="Q27"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<sst xmlns="http://schemas.openxmlformats.org/spreadsheetml/2006/main" count="2027" uniqueCount="884">
  <si>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</si>
  <si>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</si>
  <si>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</si>
  <si>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</si>
  <si>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</si>
  <si>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</si>
  <si>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</si>
  <si>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</si>
  <si>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</si>
  <si>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</si>
  <si>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</si>
  <si>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</si>
  <si>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</si>
  <si>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</si>
  <si>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</si>
  <si>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</si>
  <si>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</si>
  <si>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</si>
  <si>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</si>
  <si>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</si>
  <si>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</si>
  <si>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</si>
  <si>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</si>
  <si>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</si>
  <si>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</si>
  <si>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</si>
  <si>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</si>
  <si>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</si>
  <si>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</si>
  <si>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</si>
  <si>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</si>
  <si>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</si>
  <si>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</si>
  <si>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</si>
  <si>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</si>
  <si>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</si>
  <si>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</si>
  <si>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</si>
  <si>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</si>
  <si>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</si>
  <si>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</si>
  <si>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</si>
  <si>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</si>
  <si>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</si>
  <si>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</si>
  <si>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</si>
  <si>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</si>
  <si>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</si>
  <si>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</si>
  <si>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</si>
  <si>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</si>
  <si>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</si>
  <si>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</si>
  <si>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</si>
  <si>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</si>
  <si>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</si>
  <si>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</si>
  <si>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</si>
  <si>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</si>
  <si>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</si>
  <si>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</si>
  <si>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</si>
  <si>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</si>
  <si>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</si>
  <si>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</si>
  <si>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</si>
  <si>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</si>
  <si>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</si>
  <si>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</si>
  <si>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</si>
  <si>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</si>
  <si>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</si>
  <si>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</si>
  <si>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</si>
  <si>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</si>
  <si>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</si>
  <si>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</si>
  <si>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</si>
  <si>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</si>
  <si>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</si>
  <si>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</si>
  <si>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</si>
  <si>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</si>
  <si>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</si>
  <si>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</si>
  <si>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</si>
  <si>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</si>
  <si>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</si>
  <si>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</si>
  <si>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</si>
  <si>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</si>
  <si>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</si>
  <si>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</si>
  <si>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</si>
  <si>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</si>
  <si>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</si>
  <si>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</si>
  <si>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</si>
  <si>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</si>
  <si>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</si>
  <si>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</si>
  <si>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</si>
  <si>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</si>
  <si>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</si>
  <si>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</si>
  <si>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</si>
  <si>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</si>
  <si>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</si>
  <si>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</si>
  <si>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</si>
  <si>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</si>
  <si>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</si>
  <si>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</si>
  <si>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</si>
  <si>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</si>
  <si>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</si>
  <si>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</si>
  <si>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</si>
  <si>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</si>
  <si>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</si>
  <si>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</si>
  <si>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</si>
  <si>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</si>
  <si>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</si>
  <si>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</si>
  <si>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</si>
  <si>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</si>
  <si>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</si>
  <si>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</si>
  <si>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</si>
  <si>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</si>
  <si>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</si>
  <si>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</si>
  <si>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</si>
  <si>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</si>
  <si>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</si>
  <si>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</si>
  <si>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</si>
  <si>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</si>
  <si>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</si>
  <si>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</si>
  <si>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</si>
  <si>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</si>
  <si>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</si>
  <si>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</si>
  <si>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</si>
  <si>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</si>
  <si>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</si>
  <si>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</si>
  <si>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</si>
  <si>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</si>
  <si>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</si>
  <si>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</si>
  <si>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</si>
  <si>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</si>
  <si>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</si>
  <si>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</si>
  <si>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</si>
  <si>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</si>
  <si>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</si>
  <si>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</si>
  <si>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</si>
  <si>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</si>
  <si>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</si>
  <si>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</si>
  <si>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</si>
  <si>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</si>
  <si>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</si>
  <si>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</si>
  <si>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</si>
  <si>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</si>
  <si>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</si>
  <si>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</si>
  <si>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</si>
  <si>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</si>
  <si>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</si>
  <si>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</si>
  <si>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</si>
  <si>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</si>
  <si>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</si>
  <si>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</si>
  <si>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</si>
  <si>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</si>
  <si>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</si>
  <si>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</si>
  <si>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</si>
  <si>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</si>
  <si>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</si>
  <si>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</si>
  <si>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</si>
  <si>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</si>
  <si>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</si>
  <si>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</si>
  <si>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</si>
  <si>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</si>
  <si>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</si>
  <si>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</si>
  <si>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</si>
  <si>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</si>
  <si>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</si>
  <si>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</si>
  <si>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</si>
  <si>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</si>
  <si>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</si>
  <si>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</si>
  <si>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</si>
  <si>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</si>
  <si>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</si>
  <si>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</si>
  <si>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</si>
  <si>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</si>
  <si>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</si>
  <si>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</si>
  <si>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</si>
  <si>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</si>
  <si>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</si>
  <si>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</si>
  <si>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</si>
  <si>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</si>
  <si>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</si>
  <si>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</si>
  <si>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</si>
  <si>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</si>
  <si>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</si>
  <si>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</si>
  <si>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</si>
  <si>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</si>
  <si>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</si>
  <si>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</si>
  <si>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</si>
  <si>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</si>
  <si>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</si>
  <si>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</si>
  <si>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</si>
  <si>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</si>
  <si>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</si>
  <si>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</si>
  <si>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</si>
  <si>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</si>
  <si>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</si>
  <si>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</si>
  <si>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</si>
  <si>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</si>
  <si>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</si>
  <si>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</si>
  <si>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</si>
  <si>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</si>
  <si>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</si>
  <si>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</si>
  <si>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</si>
  <si>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</si>
  <si>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</si>
  <si>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</si>
  <si>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</si>
  <si>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</si>
  <si>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</si>
  <si>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</si>
  <si>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</si>
  <si>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</si>
  <si>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</si>
  <si>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</si>
  <si>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</si>
  <si>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</si>
  <si>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</si>
  <si>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</si>
  <si>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</si>
  <si>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</si>
  <si>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</si>
  <si>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</si>
  <si>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</si>
  <si>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</si>
  <si>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</si>
  <si>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</si>
  <si>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</si>
  <si>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</si>
  <si>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</si>
  <si>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</si>
  <si>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</si>
  <si>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</si>
  <si>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</si>
  <si>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</si>
  <si>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</si>
  <si>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</si>
  <si>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</si>
  <si>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</si>
  <si>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</si>
  <si>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</si>
  <si>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</si>
  <si>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</si>
  <si>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</si>
  <si>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</si>
  <si>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</si>
  <si>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</si>
  <si>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</si>
  <si>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</si>
  <si>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</si>
  <si>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</si>
  <si>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</si>
  <si>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</si>
  <si>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</si>
  <si>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</si>
  <si>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</si>
  <si>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</si>
  <si>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</si>
  <si>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</si>
  <si>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</si>
  <si>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</si>
  <si>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</si>
  <si>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</si>
  <si>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</si>
  <si>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</si>
  <si>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</si>
  <si>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</si>
  <si>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</si>
  <si>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</si>
  <si>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</si>
  <si>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</si>
  <si>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</si>
  <si>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</si>
  <si>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</si>
  <si>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</si>
  <si>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</si>
  <si>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</si>
  <si>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</si>
  <si>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</si>
  <si>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</si>
  <si>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</si>
  <si>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</si>
  <si>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</si>
  <si>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</si>
  <si>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</si>
  <si>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</si>
  <si>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</si>
  <si>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</si>
  <si>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</si>
  <si>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</si>
  <si>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</si>
  <si>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</si>
  <si>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</si>
  <si>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</si>
  <si>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</si>
  <si>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</si>
  <si>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</si>
  <si>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</si>
  <si>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</si>
  <si>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</si>
  <si>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</si>
  <si>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</si>
  <si>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</si>
  <si>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</si>
  <si>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</si>
  <si>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</si>
  <si>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</si>
  <si>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</si>
  <si>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</si>
  <si>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</si>
  <si>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</si>
  <si>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</si>
  <si>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</si>
  <si>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</si>
  <si>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</si>
  <si>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</si>
  <si>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</si>
  <si>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</si>
  <si>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</si>
  <si>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</si>
  <si>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</si>
  <si>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</si>
  <si>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</si>
  <si>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</si>
  <si>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</si>
  <si>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</si>
  <si>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</si>
  <si>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</si>
  <si>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</si>
  <si>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</si>
  <si>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</si>
  <si>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</si>
  <si>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</si>
  <si>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</si>
  <si>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</si>
  <si>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</si>
  <si>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</si>
  <si>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</si>
  <si>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</si>
  <si>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</si>
  <si>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</si>
  <si>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</si>
  <si>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</si>
  <si>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</si>
  <si>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</si>
  <si>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</si>
  <si>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</si>
  <si>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</si>
  <si>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</si>
  <si>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</si>
  <si>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</si>
  <si>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</si>
  <si>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</si>
  <si>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</si>
  <si>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</si>
  <si>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</si>
  <si>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</si>
  <si>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</si>
  <si>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</si>
  <si>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</si>
  <si>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</si>
  <si>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</si>
  <si>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</si>
  <si>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</si>
  <si>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</si>
  <si>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</si>
  <si>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</si>
  <si>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</si>
  <si>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</si>
  <si>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</si>
  <si>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</si>
  <si>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</si>
  <si>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</si>
  <si>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</si>
  <si>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</si>
  <si>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</si>
  <si>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</si>
  <si>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</si>
  <si>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</si>
  <si>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</si>
  <si>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</si>
  <si>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</si>
  <si>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</si>
  <si>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</si>
  <si>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</si>
  <si>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</si>
  <si>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</si>
  <si>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</si>
  <si>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</si>
  <si>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</si>
  <si>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</si>
  <si>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</si>
  <si>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</si>
  <si>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</si>
  <si>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</si>
  <si>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</si>
  <si>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</si>
  <si>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</si>
  <si>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</si>
  <si>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</si>
  <si>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</si>
  <si>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</si>
  <si>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</si>
  <si>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</si>
  <si>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</si>
  <si>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</si>
  <si>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</si>
  <si>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</si>
  <si>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</si>
  <si>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</si>
  <si>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</si>
  <si>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</si>
  <si>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</si>
  <si>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</si>
  <si>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</si>
  <si>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</si>
  <si>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</si>
  <si>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</si>
  <si>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</si>
  <si>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</si>
  <si>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</si>
  <si>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</si>
  <si>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</si>
  <si>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</si>
  <si>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</si>
  <si>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</si>
  <si>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</si>
  <si>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</si>
  <si>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</si>
  <si>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</si>
  <si>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</si>
  <si>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</si>
  <si>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</si>
  <si>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</si>
  <si>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</si>
  <si>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</si>
  <si>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</si>
  <si>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</si>
  <si>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</si>
  <si>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</si>
  <si>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</si>
  <si>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</si>
  <si>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</si>
  <si>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</si>
  <si>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</si>
  <si>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</si>
  <si>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</si>
  <si>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</si>
  <si>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</si>
  <si>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</si>
  <si>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</si>
  <si>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</si>
  <si>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</si>
  <si>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</si>
  <si>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</si>
  <si>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</si>
  <si>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</si>
  <si>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</si>
  <si>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</si>
  <si>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</si>
  <si>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</si>
  <si>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</si>
  <si>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</si>
  <si>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</si>
  <si>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</si>
  <si>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</si>
  <si>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</si>
  <si>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</si>
  <si>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</si>
  <si>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</si>
  <si>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</si>
  <si>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</si>
  <si>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</si>
  <si>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</si>
  <si>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</si>
  <si>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</si>
  <si>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</si>
  <si>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</si>
  <si>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</si>
  <si>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</si>
  <si>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</si>
  <si>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</si>
  <si>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</si>
  <si>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</si>
  <si>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</si>
  <si>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</si>
  <si>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</si>
  <si>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</si>
  <si>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</si>
  <si>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</si>
  <si>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</si>
  <si>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</si>
  <si>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</si>
  <si>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</si>
  <si>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</si>
  <si>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</si>
  <si>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</si>
  <si>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</si>
  <si>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</si>
  <si>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</si>
  <si>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</si>
  <si>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</si>
  <si>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</si>
  <si>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</si>
  <si>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</si>
  <si>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</si>
  <si>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</si>
  <si>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</si>
  <si>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</si>
  <si>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</si>
  <si>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</si>
  <si>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</si>
  <si>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</si>
  <si>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</si>
  <si>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</si>
  <si>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</si>
  <si>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</si>
  <si>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</si>
  <si>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</si>
  <si>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</si>
  <si>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</si>
  <si>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</si>
  <si>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</si>
  <si>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</si>
  <si>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</si>
  <si>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</si>
  <si>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</si>
  <si>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</si>
  <si>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</si>
  <si>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</si>
  <si>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</si>
  <si>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</si>
  <si>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</si>
  <si>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</si>
  <si>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</si>
  <si>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</si>
  <si>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</si>
  <si>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</si>
  <si>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</si>
  <si>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</si>
  <si>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</si>
  <si>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</si>
  <si>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</si>
  <si>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</si>
  <si>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</si>
  <si>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</si>
  <si>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</si>
  <si>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</si>
  <si>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</si>
  <si>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</si>
  <si>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</si>
  <si>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</si>
  <si>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</si>
  <si>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</si>
  <si>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</si>
  <si>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</si>
  <si>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</si>
  <si>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</si>
  <si>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</si>
  <si>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</si>
  <si>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</si>
  <si>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</si>
  <si>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</si>
  <si>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</si>
  <si>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</si>
  <si>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</si>
  <si>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</si>
  <si>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</si>
  <si>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</si>
  <si>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</si>
  <si>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</si>
  <si>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</si>
  <si>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</si>
  <si>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</si>
  <si>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</si>
  <si>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</si>
  <si>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</si>
  <si>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</si>
  <si>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</si>
  <si>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</si>
  <si>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</si>
  <si>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</si>
  <si>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</si>
  <si>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</si>
  <si>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</si>
  <si>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</si>
  <si>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</si>
  <si>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</si>
  <si>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</si>
  <si>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</si>
  <si>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</si>
  <si>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</si>
  <si>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</si>
  <si>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</si>
  <si>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</si>
  <si>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</si>
  <si>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</si>
  <si>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</si>
  <si>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</si>
  <si>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</si>
  <si>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</si>
  <si>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</si>
  <si>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</si>
  <si>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</si>
  <si>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</si>
  <si>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</si>
  <si>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</si>
  <si>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</si>
  <si>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</si>
  <si>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</si>
  <si>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</si>
  <si>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</si>
  <si>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</si>
  <si>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</si>
  <si>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</si>
  <si>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</si>
  <si>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</si>
  <si>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</si>
  <si>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</si>
  <si>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</si>
  <si>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</si>
  <si>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</si>
  <si>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</si>
  <si>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</si>
  <si>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</si>
  <si>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</si>
  <si>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</si>
  <si>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</si>
  <si>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</si>
  <si>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</si>
  <si>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</si>
  <si>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</si>
  <si>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</si>
  <si>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</si>
  <si>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</si>
  <si>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</si>
  <si>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</si>
  <si>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</si>
  <si>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</si>
  <si>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</si>
  <si>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</si>
  <si>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</si>
  <si>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</si>
  <si>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</si>
  <si>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</si>
  <si>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</si>
  <si>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</si>
  <si>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</si>
  <si>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</si>
  <si>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</si>
  <si>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</si>
  <si>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</si>
  <si>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</si>
  <si>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</si>
  <si>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</si>
  <si>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</si>
  <si>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</si>
  <si>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</si>
  <si>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</si>
  <si>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</si>
  <si>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</si>
  <si>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</si>
  <si>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</si>
  <si>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</si>
  <si>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</si>
  <si>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</si>
  <si>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</si>
  <si>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</si>
  <si>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</si>
  <si>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</si>
  <si>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</si>
  <si>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</si>
  <si>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</si>
  <si>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</si>
  <si>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</si>
  <si>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</si>
  <si>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</si>
  <si>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</si>
  <si>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</si>
  <si>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</si>
  <si>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</si>
  <si>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</si>
  <si>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</si>
  <si>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</si>
  <si>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</si>
  <si>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</si>
  <si>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</si>
  <si>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</si>
  <si>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</si>
  <si>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</si>
  <si>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</si>
  <si>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</si>
  <si>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</si>
  <si>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</si>
  <si>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</si>
  <si>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</si>
  <si>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</si>
  <si>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</si>
  <si>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</si>
  <si>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</si>
  <si>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</si>
  <si>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</si>
  <si>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</si>
  <si>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</si>
  <si>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</si>
  <si>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</si>
  <si>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</si>
  <si>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</si>
  <si>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</si>
  <si>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</si>
  <si>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</si>
  <si>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</si>
  <si>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</si>
  <si>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</si>
  <si>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</si>
  <si>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</si>
  <si>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</si>
  <si>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</si>
  <si>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</si>
  <si>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</si>
  <si>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</si>
  <si>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</si>
  <si>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</si>
  <si>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</si>
  <si>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</si>
  <si>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</si>
  <si>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</si>
  <si>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</si>
  <si>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</si>
  <si>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</si>
  <si>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</si>
  <si>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</si>
  <si>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</si>
  <si>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</si>
  <si>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</si>
  <si>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</si>
  <si>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</si>
  <si>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</si>
  <si>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</si>
  <si>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</si>
  <si>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</si>
  <si>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</si>
  <si>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</si>
  <si>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</si>
  <si>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</si>
  <si>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</si>
  <si>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</si>
  <si>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</si>
  <si>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</si>
  <si>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</si>
  <si>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</si>
  <si>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</si>
  <si>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</si>
  <si>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</si>
  <si>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</si>
  <si>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</si>
  <si>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</si>
  <si>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</si>
  <si>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</si>
  <si>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</si>
  <si>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</si>
  <si>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</si>
  <si>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</si>
  <si>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</si>
  <si>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</si>
  <si>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</si>
  <si>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</si>
  <si>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</si>
  <si>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</si>
  <si>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</si>
  <si>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</si>
  <si>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</si>
  <si>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</si>
  <si>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</si>
  <si>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</si>
  <si>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</si>
  <si>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</si>
  <si>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</si>
  <si>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</si>
  <si>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</si>
  <si>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</si>
  <si>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</si>
  <si>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</si>
  <si>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</si>
  <si>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</si>
  <si>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</si>
  <si>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</si>
  <si>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</si>
  <si>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</si>
  <si>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</si>
  <si>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</si>
  <si>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</si>
  <si>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</si>
  <si>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</si>
  <si>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</si>
  <si>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</si>
  <si>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</si>
  <si>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</si>
  <si>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</si>
  <si>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</si>
  <si>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</si>
  <si>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</si>
  <si>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</si>
  <si>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</si>
  <si>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</si>
  <si>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</si>
  <si>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</si>
  <si>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</si>
  <si>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</si>
  <si>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</si>
  <si>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</si>
  <si>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</si>
  <si>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</si>
  <si>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</si>
  <si>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</si>
  <si>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</si>
  <si>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</si>
  <si>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</si>
  <si>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</si>
  <si>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</si>
  <si>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</si>
  <si>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</si>
  <si>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</si>
  <si>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</si>
  <si>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</si>
  <si>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13011</t>
  </si>
  <si>
    <t>HERENTALS</t>
  </si>
  <si>
    <t>Paarden&amp;pony's 200 - 600 kg</t>
  </si>
  <si>
    <t>Paarden&amp;pony's &lt; 200 kg</t>
  </si>
  <si>
    <t>op basis van VEA (maart 2018) en Inventaris Hernieuwbare Energiebronnen (juni 2018)</t>
  </si>
  <si>
    <t>VEA (juni 2018)</t>
  </si>
  <si>
    <t>Aquafin NV</t>
  </si>
  <si>
    <t>Dijkstraat 8, 2630 Aartselaar</t>
  </si>
  <si>
    <t>BGS-0057 RWZI Morkhoven</t>
  </si>
  <si>
    <t>biogas - RWZI</t>
  </si>
  <si>
    <t>niet WKK interne verbrandingsmotor (gas)</t>
  </si>
  <si>
    <t>Wiekevorstseweg 44, 2200 Herentals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</si>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</sst>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13011</v>
      </c>
      <c r="B6" s="397"/>
      <c r="C6" s="398"/>
    </row>
    <row r="7" spans="1:7" s="395" customFormat="1" ht="15.75" customHeight="1">
      <c r="A7" s="399" t="str">
        <f>txtMunicipality</f>
        <v>HERENTALS</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13011</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11846</v>
      </c>
      <c r="C9" s="338">
        <v>12306</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1499</v>
      </c>
    </row>
    <row r="15" spans="1:6">
      <c r="A15" s="1205" t="s">
        <v>184</v>
      </c>
      <c r="B15" s="335">
        <v>1576</v>
      </c>
    </row>
    <row r="16" spans="1:6">
      <c r="A16" s="1205" t="s">
        <v>6</v>
      </c>
      <c r="B16" s="335">
        <v>524</v>
      </c>
    </row>
    <row r="17" spans="1:6">
      <c r="A17" s="1205" t="s">
        <v>7</v>
      </c>
      <c r="B17" s="335">
        <v>134</v>
      </c>
    </row>
    <row r="18" spans="1:6">
      <c r="A18" s="1205" t="s">
        <v>8</v>
      </c>
      <c r="B18" s="335">
        <v>338</v>
      </c>
    </row>
    <row r="19" spans="1:6">
      <c r="A19" s="1205" t="s">
        <v>9</v>
      </c>
      <c r="B19" s="335">
        <v>345</v>
      </c>
    </row>
    <row r="20" spans="1:6">
      <c r="A20" s="1205" t="s">
        <v>10</v>
      </c>
      <c r="B20" s="335">
        <v>211</v>
      </c>
    </row>
    <row r="21" spans="1:6">
      <c r="A21" s="1205" t="s">
        <v>11</v>
      </c>
      <c r="B21" s="335">
        <v>1294</v>
      </c>
    </row>
    <row r="22" spans="1:6">
      <c r="A22" s="1205" t="s">
        <v>12</v>
      </c>
      <c r="B22" s="335">
        <v>5454</v>
      </c>
    </row>
    <row r="23" spans="1:6">
      <c r="A23" s="1205" t="s">
        <v>13</v>
      </c>
      <c r="B23" s="335">
        <v>63</v>
      </c>
    </row>
    <row r="24" spans="1:6">
      <c r="A24" s="1205" t="s">
        <v>14</v>
      </c>
      <c r="B24" s="335">
        <v>1</v>
      </c>
    </row>
    <row r="25" spans="1:6">
      <c r="A25" s="1205" t="s">
        <v>15</v>
      </c>
      <c r="B25" s="335">
        <v>293</v>
      </c>
    </row>
    <row r="26" spans="1:6">
      <c r="A26" s="1205" t="s">
        <v>16</v>
      </c>
      <c r="B26" s="335">
        <v>109</v>
      </c>
    </row>
    <row r="27" spans="1:6">
      <c r="A27" s="1205" t="s">
        <v>17</v>
      </c>
      <c r="B27" s="335">
        <v>0</v>
      </c>
    </row>
    <row r="28" spans="1:6" s="341" customFormat="1">
      <c r="A28" s="1206" t="s">
        <v>18</v>
      </c>
      <c r="B28" s="1206">
        <v>145387</v>
      </c>
    </row>
    <row r="29" spans="1:6">
      <c r="A29" s="1206" t="s">
        <v>873</v>
      </c>
      <c r="B29" s="1206">
        <v>196</v>
      </c>
      <c r="C29" s="341"/>
      <c r="D29" s="341"/>
      <c r="E29" s="341"/>
      <c r="F29" s="341"/>
    </row>
    <row r="30" spans="1:6">
      <c r="A30" s="1201" t="s">
        <v>874</v>
      </c>
      <c r="B30" s="1201">
        <v>28</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6</v>
      </c>
      <c r="F35" s="335">
        <v>22285.584273291901</v>
      </c>
    </row>
    <row r="36" spans="1:6">
      <c r="A36" s="1205" t="s">
        <v>25</v>
      </c>
      <c r="B36" s="1205" t="s">
        <v>27</v>
      </c>
      <c r="C36" s="335">
        <v>4</v>
      </c>
      <c r="D36" s="335">
        <v>739166.97403915902</v>
      </c>
      <c r="E36" s="335">
        <v>13</v>
      </c>
      <c r="F36" s="335">
        <v>108014.44141296799</v>
      </c>
    </row>
    <row r="37" spans="1:6">
      <c r="A37" s="1205" t="s">
        <v>25</v>
      </c>
      <c r="B37" s="1205" t="s">
        <v>28</v>
      </c>
      <c r="C37" s="335">
        <v>0</v>
      </c>
      <c r="D37" s="335">
        <v>0</v>
      </c>
      <c r="E37" s="335">
        <v>0</v>
      </c>
      <c r="F37" s="335">
        <v>0</v>
      </c>
    </row>
    <row r="38" spans="1:6">
      <c r="A38" s="1205" t="s">
        <v>25</v>
      </c>
      <c r="B38" s="1205" t="s">
        <v>29</v>
      </c>
      <c r="C38" s="335">
        <v>0</v>
      </c>
      <c r="D38" s="335">
        <v>0</v>
      </c>
      <c r="E38" s="335">
        <v>0</v>
      </c>
      <c r="F38" s="335">
        <v>0</v>
      </c>
    </row>
    <row r="39" spans="1:6">
      <c r="A39" s="1205" t="s">
        <v>30</v>
      </c>
      <c r="B39" s="1205" t="s">
        <v>31</v>
      </c>
      <c r="C39" s="335">
        <v>9349</v>
      </c>
      <c r="D39" s="335">
        <v>161075048.12274</v>
      </c>
      <c r="E39" s="335">
        <v>11966</v>
      </c>
      <c r="F39" s="335">
        <v>41884010.1585868</v>
      </c>
    </row>
    <row r="40" spans="1:6">
      <c r="A40" s="1205" t="s">
        <v>30</v>
      </c>
      <c r="B40" s="1205" t="s">
        <v>29</v>
      </c>
      <c r="C40" s="335">
        <v>0</v>
      </c>
      <c r="D40" s="335">
        <v>0</v>
      </c>
      <c r="E40" s="335">
        <v>0</v>
      </c>
      <c r="F40" s="335">
        <v>0</v>
      </c>
    </row>
    <row r="41" spans="1:6">
      <c r="A41" s="1205" t="s">
        <v>32</v>
      </c>
      <c r="B41" s="1205" t="s">
        <v>33</v>
      </c>
      <c r="C41" s="335">
        <v>103</v>
      </c>
      <c r="D41" s="335">
        <v>5303725.0958777601</v>
      </c>
      <c r="E41" s="335">
        <v>215</v>
      </c>
      <c r="F41" s="335">
        <v>11710053.2092588</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17</v>
      </c>
      <c r="D44" s="335">
        <v>1799935.77703182</v>
      </c>
      <c r="E44" s="335">
        <v>35</v>
      </c>
      <c r="F44" s="335">
        <v>22277683.5970079</v>
      </c>
    </row>
    <row r="45" spans="1:6">
      <c r="A45" s="1205" t="s">
        <v>32</v>
      </c>
      <c r="B45" s="1205" t="s">
        <v>37</v>
      </c>
      <c r="C45" s="335">
        <v>0</v>
      </c>
      <c r="D45" s="335">
        <v>0</v>
      </c>
      <c r="E45" s="335">
        <v>3</v>
      </c>
      <c r="F45" s="335">
        <v>181056.511402815</v>
      </c>
    </row>
    <row r="46" spans="1:6">
      <c r="A46" s="1205" t="s">
        <v>32</v>
      </c>
      <c r="B46" s="1205" t="s">
        <v>38</v>
      </c>
      <c r="C46" s="335">
        <v>0</v>
      </c>
      <c r="D46" s="335">
        <v>0</v>
      </c>
      <c r="E46" s="335">
        <v>0</v>
      </c>
      <c r="F46" s="335">
        <v>0</v>
      </c>
    </row>
    <row r="47" spans="1:6">
      <c r="A47" s="1205" t="s">
        <v>32</v>
      </c>
      <c r="B47" s="1205" t="s">
        <v>39</v>
      </c>
      <c r="C47" s="335">
        <v>8</v>
      </c>
      <c r="D47" s="335">
        <v>892231.32602973003</v>
      </c>
      <c r="E47" s="335">
        <v>13</v>
      </c>
      <c r="F47" s="335">
        <v>1169201.1362314101</v>
      </c>
    </row>
    <row r="48" spans="1:6">
      <c r="A48" s="1205" t="s">
        <v>32</v>
      </c>
      <c r="B48" s="1205" t="s">
        <v>29</v>
      </c>
      <c r="C48" s="335">
        <v>38</v>
      </c>
      <c r="D48" s="335">
        <v>63746448.446775302</v>
      </c>
      <c r="E48" s="335">
        <v>50</v>
      </c>
      <c r="F48" s="335">
        <v>82290404.653045207</v>
      </c>
    </row>
    <row r="49" spans="1:6">
      <c r="A49" s="1205" t="s">
        <v>32</v>
      </c>
      <c r="B49" s="1205" t="s">
        <v>40</v>
      </c>
      <c r="C49" s="335">
        <v>0</v>
      </c>
      <c r="D49" s="335">
        <v>0</v>
      </c>
      <c r="E49" s="335">
        <v>0</v>
      </c>
      <c r="F49" s="335">
        <v>0</v>
      </c>
    </row>
    <row r="50" spans="1:6">
      <c r="A50" s="1205" t="s">
        <v>32</v>
      </c>
      <c r="B50" s="1205" t="s">
        <v>41</v>
      </c>
      <c r="C50" s="335">
        <v>28</v>
      </c>
      <c r="D50" s="335">
        <v>10236765.6997901</v>
      </c>
      <c r="E50" s="335">
        <v>33</v>
      </c>
      <c r="F50" s="335">
        <v>6351933.9163208501</v>
      </c>
    </row>
    <row r="51" spans="1:6">
      <c r="A51" s="1205" t="s">
        <v>42</v>
      </c>
      <c r="B51" s="1205" t="s">
        <v>43</v>
      </c>
      <c r="C51" s="335">
        <v>0</v>
      </c>
      <c r="D51" s="335">
        <v>0</v>
      </c>
      <c r="E51" s="335">
        <v>71</v>
      </c>
      <c r="F51" s="335">
        <v>1147733.39376867</v>
      </c>
    </row>
    <row r="52" spans="1:6">
      <c r="A52" s="1205" t="s">
        <v>42</v>
      </c>
      <c r="B52" s="1205" t="s">
        <v>29</v>
      </c>
      <c r="C52" s="335">
        <v>10</v>
      </c>
      <c r="D52" s="335">
        <v>43160232.952829599</v>
      </c>
      <c r="E52" s="335">
        <v>8</v>
      </c>
      <c r="F52" s="335">
        <v>157061.56554546999</v>
      </c>
    </row>
    <row r="53" spans="1:6">
      <c r="A53" s="1205" t="s">
        <v>44</v>
      </c>
      <c r="B53" s="1205" t="s">
        <v>45</v>
      </c>
      <c r="C53" s="335">
        <v>208</v>
      </c>
      <c r="D53" s="335">
        <v>5917634.3097139802</v>
      </c>
      <c r="E53" s="335">
        <v>360</v>
      </c>
      <c r="F53" s="335">
        <v>1691916.3192550601</v>
      </c>
    </row>
    <row r="54" spans="1:6">
      <c r="A54" s="1205" t="s">
        <v>46</v>
      </c>
      <c r="B54" s="1205" t="s">
        <v>47</v>
      </c>
      <c r="C54" s="335">
        <v>0</v>
      </c>
      <c r="D54" s="335">
        <v>0</v>
      </c>
      <c r="E54" s="335">
        <v>1</v>
      </c>
      <c r="F54" s="335">
        <v>1359928</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61</v>
      </c>
      <c r="D57" s="335">
        <v>10191778.182910001</v>
      </c>
      <c r="E57" s="335">
        <v>111</v>
      </c>
      <c r="F57" s="335">
        <v>8398401.6463293191</v>
      </c>
    </row>
    <row r="58" spans="1:6">
      <c r="A58" s="1205" t="s">
        <v>49</v>
      </c>
      <c r="B58" s="1205" t="s">
        <v>51</v>
      </c>
      <c r="C58" s="335">
        <v>61</v>
      </c>
      <c r="D58" s="335">
        <v>7900263.25427897</v>
      </c>
      <c r="E58" s="335">
        <v>83</v>
      </c>
      <c r="F58" s="335">
        <v>2306510.7251689699</v>
      </c>
    </row>
    <row r="59" spans="1:6">
      <c r="A59" s="1205" t="s">
        <v>49</v>
      </c>
      <c r="B59" s="1205" t="s">
        <v>52</v>
      </c>
      <c r="C59" s="335">
        <v>257</v>
      </c>
      <c r="D59" s="335">
        <v>21675821.2574066</v>
      </c>
      <c r="E59" s="335">
        <v>471</v>
      </c>
      <c r="F59" s="335">
        <v>24569814.5523615</v>
      </c>
    </row>
    <row r="60" spans="1:6">
      <c r="A60" s="1205" t="s">
        <v>49</v>
      </c>
      <c r="B60" s="1205" t="s">
        <v>53</v>
      </c>
      <c r="C60" s="335">
        <v>107</v>
      </c>
      <c r="D60" s="335">
        <v>5713425.8139486797</v>
      </c>
      <c r="E60" s="335">
        <v>134</v>
      </c>
      <c r="F60" s="335">
        <v>4181205.95805969</v>
      </c>
    </row>
    <row r="61" spans="1:6">
      <c r="A61" s="1205" t="s">
        <v>49</v>
      </c>
      <c r="B61" s="1205" t="s">
        <v>54</v>
      </c>
      <c r="C61" s="335">
        <v>313</v>
      </c>
      <c r="D61" s="335">
        <v>17277453.911601901</v>
      </c>
      <c r="E61" s="335">
        <v>667</v>
      </c>
      <c r="F61" s="335">
        <v>22460358.343903899</v>
      </c>
    </row>
    <row r="62" spans="1:6">
      <c r="A62" s="1205" t="s">
        <v>49</v>
      </c>
      <c r="B62" s="1205" t="s">
        <v>55</v>
      </c>
      <c r="C62" s="335">
        <v>20</v>
      </c>
      <c r="D62" s="335">
        <v>5521189.5453425404</v>
      </c>
      <c r="E62" s="335">
        <v>32</v>
      </c>
      <c r="F62" s="335">
        <v>2924165.0302312798</v>
      </c>
    </row>
    <row r="63" spans="1:6">
      <c r="A63" s="1205" t="s">
        <v>49</v>
      </c>
      <c r="B63" s="1205" t="s">
        <v>29</v>
      </c>
      <c r="C63" s="335">
        <v>99</v>
      </c>
      <c r="D63" s="335">
        <v>9729819.0988663305</v>
      </c>
      <c r="E63" s="335">
        <v>107</v>
      </c>
      <c r="F63" s="335">
        <v>3183944.2526126602</v>
      </c>
    </row>
    <row r="64" spans="1:6">
      <c r="A64" s="1205" t="s">
        <v>56</v>
      </c>
      <c r="B64" s="1205" t="s">
        <v>57</v>
      </c>
      <c r="C64" s="335">
        <v>0</v>
      </c>
      <c r="D64" s="335">
        <v>0</v>
      </c>
      <c r="E64" s="335">
        <v>0</v>
      </c>
      <c r="F64" s="335">
        <v>0</v>
      </c>
    </row>
    <row r="65" spans="1:6">
      <c r="A65" s="1205" t="s">
        <v>56</v>
      </c>
      <c r="B65" s="1205" t="s">
        <v>29</v>
      </c>
      <c r="C65" s="335">
        <v>1</v>
      </c>
      <c r="D65" s="335">
        <v>30423.9645515755</v>
      </c>
      <c r="E65" s="335">
        <v>3</v>
      </c>
      <c r="F65" s="335">
        <v>97578.318632735507</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8</v>
      </c>
      <c r="D68" s="335">
        <v>357817.74735109101</v>
      </c>
      <c r="E68" s="335">
        <v>26</v>
      </c>
      <c r="F68" s="335">
        <v>628167.04398634797</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115709972</v>
      </c>
      <c r="E73" s="335">
        <v>117996600.51896253</v>
      </c>
    </row>
    <row r="74" spans="1:6">
      <c r="A74" s="1205" t="s">
        <v>64</v>
      </c>
      <c r="B74" s="1205" t="s">
        <v>772</v>
      </c>
      <c r="C74" s="1216" t="s">
        <v>766</v>
      </c>
      <c r="D74" s="335">
        <v>7691612.9166418295</v>
      </c>
      <c r="E74" s="335">
        <v>7894413.4702297682</v>
      </c>
    </row>
    <row r="75" spans="1:6">
      <c r="A75" s="1205" t="s">
        <v>65</v>
      </c>
      <c r="B75" s="1205" t="s">
        <v>771</v>
      </c>
      <c r="C75" s="1216" t="s">
        <v>767</v>
      </c>
      <c r="D75" s="335">
        <v>31674035</v>
      </c>
      <c r="E75" s="335">
        <v>32180101.751689337</v>
      </c>
    </row>
    <row r="76" spans="1:6">
      <c r="A76" s="1205" t="s">
        <v>65</v>
      </c>
      <c r="B76" s="1205" t="s">
        <v>772</v>
      </c>
      <c r="C76" s="1216" t="s">
        <v>768</v>
      </c>
      <c r="D76" s="335">
        <v>1459395.9166418295</v>
      </c>
      <c r="E76" s="335">
        <v>1514764.1707825686</v>
      </c>
    </row>
    <row r="77" spans="1:6">
      <c r="A77" s="1205" t="s">
        <v>66</v>
      </c>
      <c r="B77" s="1205" t="s">
        <v>771</v>
      </c>
      <c r="C77" s="1216" t="s">
        <v>769</v>
      </c>
      <c r="D77" s="335">
        <v>83534566</v>
      </c>
      <c r="E77" s="335">
        <v>91859423.202845797</v>
      </c>
    </row>
    <row r="78" spans="1:6">
      <c r="A78" s="1201" t="s">
        <v>66</v>
      </c>
      <c r="B78" s="1201" t="s">
        <v>772</v>
      </c>
      <c r="C78" s="1201" t="s">
        <v>770</v>
      </c>
      <c r="D78" s="1201">
        <v>13748595</v>
      </c>
      <c r="E78" s="1201">
        <v>15804948.696965352</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676810.1667163407</v>
      </c>
      <c r="C83" s="335">
        <v>637109.47332504392</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3560.5377558445844</v>
      </c>
    </row>
    <row r="92" spans="1:6">
      <c r="A92" s="1201" t="s">
        <v>69</v>
      </c>
      <c r="B92" s="338">
        <v>4901.5328540974833</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6292</v>
      </c>
    </row>
    <row r="98" spans="1:6">
      <c r="A98" s="1205" t="s">
        <v>72</v>
      </c>
      <c r="B98" s="335">
        <v>7</v>
      </c>
    </row>
    <row r="99" spans="1:6">
      <c r="A99" s="1205" t="s">
        <v>73</v>
      </c>
      <c r="B99" s="335">
        <v>107</v>
      </c>
    </row>
    <row r="100" spans="1:6">
      <c r="A100" s="1205" t="s">
        <v>74</v>
      </c>
      <c r="B100" s="335">
        <v>383</v>
      </c>
    </row>
    <row r="101" spans="1:6">
      <c r="A101" s="1205" t="s">
        <v>75</v>
      </c>
      <c r="B101" s="335">
        <v>115</v>
      </c>
    </row>
    <row r="102" spans="1:6">
      <c r="A102" s="1205" t="s">
        <v>76</v>
      </c>
      <c r="B102" s="335">
        <v>106</v>
      </c>
    </row>
    <row r="103" spans="1:6">
      <c r="A103" s="1205" t="s">
        <v>77</v>
      </c>
      <c r="B103" s="335">
        <v>207</v>
      </c>
    </row>
    <row r="104" spans="1:6">
      <c r="A104" s="1205" t="s">
        <v>78</v>
      </c>
      <c r="B104" s="335">
        <v>2932</v>
      </c>
    </row>
    <row r="105" spans="1:6">
      <c r="A105" s="1201" t="s">
        <v>79</v>
      </c>
      <c r="B105" s="1201">
        <v>5</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2</v>
      </c>
    </row>
    <row r="111" spans="1:6">
      <c r="A111" s="1221" t="s">
        <v>710</v>
      </c>
      <c r="B111" s="1222">
        <v>2</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13</v>
      </c>
      <c r="C123" s="335">
        <v>26</v>
      </c>
    </row>
    <row r="124" spans="1:6">
      <c r="A124" s="1201" t="s">
        <v>89</v>
      </c>
      <c r="B124" s="335">
        <v>1</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137</v>
      </c>
    </row>
    <row r="130" spans="1:6">
      <c r="A130" s="1205" t="s">
        <v>295</v>
      </c>
      <c r="B130" s="335">
        <v>0</v>
      </c>
    </row>
    <row r="131" spans="1:6">
      <c r="A131" s="1205" t="s">
        <v>296</v>
      </c>
      <c r="B131" s="335">
        <v>8</v>
      </c>
    </row>
    <row r="132" spans="1:6">
      <c r="A132" s="1201" t="s">
        <v>297</v>
      </c>
      <c r="B132" s="338">
        <v>10</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241018.86293907577</v>
      </c>
      <c r="C3" s="44" t="s">
        <v>170</v>
      </c>
      <c r="D3" s="44"/>
      <c r="E3" s="157"/>
      <c r="F3" s="44"/>
      <c r="G3" s="44"/>
      <c r="H3" s="44"/>
      <c r="I3" s="44"/>
      <c r="J3" s="44"/>
      <c r="K3" s="97"/>
    </row>
    <row r="4" spans="1:11">
      <c r="A4" s="365" t="s">
        <v>171</v>
      </c>
      <c r="B4" s="50">
        <f>IF(ISERROR('SEAP template'!B69),0,'SEAP template'!B69)</f>
        <v>9362.0706099420677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0.21241553661167092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1359.9280000000001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1359.9280000000001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0.21241553661167092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288.86983587323647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41884.010158586803</v>
      </c>
      <c r="C5" s="18">
        <f>IF(ISERROR('Eigen informatie GS &amp; warmtenet'!B57),0,'Eigen informatie GS &amp; warmtenet'!B57)</f>
        <v>0</v>
      </c>
      <c r="D5" s="31">
        <f>(SUM(HH_hh_gas_kWh,HH_rest_gas_kWh)/1000)*0.902</f>
        <v>145289.69340671148</v>
      </c>
      <c r="E5" s="18">
        <f>B46*B57</f>
        <v>9638.1517030298401</v>
      </c>
      <c r="F5" s="18">
        <f>B51*B62</f>
        <v>0</v>
      </c>
      <c r="G5" s="19"/>
      <c r="H5" s="18"/>
      <c r="I5" s="18"/>
      <c r="J5" s="18">
        <f>B50*B61+C50*C61</f>
        <v>0</v>
      </c>
      <c r="K5" s="18"/>
      <c r="L5" s="18"/>
      <c r="M5" s="18"/>
      <c r="N5" s="18">
        <f>B48*B59+C48*C59</f>
        <v>33640.516484294683</v>
      </c>
      <c r="O5" s="18">
        <f>B69*B70*B71</f>
        <v>254.82333333333335</v>
      </c>
      <c r="P5" s="18">
        <f>B77*B78*B79/1000-B77*B78*B79/1000/B80</f>
        <v>457.6</v>
      </c>
    </row>
    <row r="6" spans="1:16">
      <c r="A6" s="17" t="s">
        <v>639</v>
      </c>
      <c r="B6" s="831">
        <f>kWh_PV_kleiner_dan_10kW</f>
        <v>3560.5377558445844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45444.547914431387</v>
      </c>
      <c r="C8" s="22">
        <f>C5</f>
        <v>0</v>
      </c>
      <c r="D8" s="22">
        <f>D5</f>
        <v>145289.69340671148</v>
      </c>
      <c r="E8" s="22">
        <f>E5</f>
        <v>9638.1517030298401</v>
      </c>
      <c r="F8" s="22">
        <f>F5</f>
        <v>0</v>
      </c>
      <c r="G8" s="22"/>
      <c r="H8" s="22"/>
      <c r="I8" s="22"/>
      <c r="J8" s="22">
        <f>J5</f>
        <v>0</v>
      </c>
      <c r="K8" s="22"/>
      <c r="L8" s="22">
        <f>L5</f>
        <v>0</v>
      </c>
      <c r="M8" s="22">
        <f>M5</f>
        <v>0</v>
      </c>
      <c r="N8" s="22">
        <f>N5</f>
        <v>33640.516484294683</v>
      </c>
      <c r="O8" s="22">
        <f>O5</f>
        <v>254.82333333333335</v>
      </c>
      <c r="P8" s="22">
        <f>P5</f>
        <v>457.6</v>
      </c>
    </row>
    <row r="9" spans="1:16">
      <c r="B9" s="20"/>
      <c r="C9" s="20"/>
      <c r="D9" s="262"/>
      <c r="E9" s="20"/>
      <c r="F9" s="20"/>
      <c r="G9" s="20"/>
      <c r="H9" s="20"/>
      <c r="I9" s="20"/>
      <c r="J9" s="20"/>
      <c r="K9" s="20"/>
      <c r="L9" s="20"/>
      <c r="M9" s="20"/>
      <c r="N9" s="20"/>
      <c r="O9" s="20"/>
      <c r="P9" s="20"/>
    </row>
    <row r="10" spans="1:16">
      <c r="A10" s="25" t="s">
        <v>214</v>
      </c>
      <c r="B10" s="26">
        <f ca="1">'EF ele_warmte'!B12</f>
        <v>0.21241553661167092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9653.1280313187344</v>
      </c>
      <c r="C12" s="24">
        <f ca="1">C10*C8</f>
        <v>0</v>
      </c>
      <c r="D12" s="24">
        <f>D8*D10</f>
        <v>29348.518068155721</v>
      </c>
      <c r="E12" s="24">
        <f>E10*E8</f>
        <v>2187.8604365877736</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6292</v>
      </c>
      <c r="C18" s="169" t="s">
        <v>111</v>
      </c>
      <c r="D18" s="231"/>
      <c r="E18" s="16"/>
    </row>
    <row r="19" spans="1:7">
      <c r="A19" s="174" t="s">
        <v>72</v>
      </c>
      <c r="B19" s="38">
        <f>aantalw2001_ander</f>
        <v>7</v>
      </c>
      <c r="C19" s="169" t="s">
        <v>111</v>
      </c>
      <c r="D19" s="232"/>
      <c r="E19" s="16"/>
    </row>
    <row r="20" spans="1:7">
      <c r="A20" s="174" t="s">
        <v>73</v>
      </c>
      <c r="B20" s="38">
        <f>aantalw2001_propaan</f>
        <v>107</v>
      </c>
      <c r="C20" s="170">
        <f>IF(ISERROR(B20/SUM($B$20,$B$21,$B$22)*100),0,B20/SUM($B$20,$B$21,$B$22)*100)</f>
        <v>17.685950413223139</v>
      </c>
      <c r="D20" s="232"/>
      <c r="E20" s="16"/>
    </row>
    <row r="21" spans="1:7">
      <c r="A21" s="174" t="s">
        <v>74</v>
      </c>
      <c r="B21" s="38">
        <f>aantalw2001_elektriciteit</f>
        <v>383</v>
      </c>
      <c r="C21" s="170">
        <f>IF(ISERROR(B21/SUM($B$20,$B$21,$B$22)*100),0,B21/SUM($B$20,$B$21,$B$22)*100)</f>
        <v>63.305785123966942</v>
      </c>
      <c r="D21" s="232"/>
      <c r="E21" s="16"/>
    </row>
    <row r="22" spans="1:7">
      <c r="A22" s="174" t="s">
        <v>75</v>
      </c>
      <c r="B22" s="38">
        <f>aantalw2001_hout</f>
        <v>115</v>
      </c>
      <c r="C22" s="170">
        <f>IF(ISERROR(B22/SUM($B$20,$B$21,$B$22)*100),0,B22/SUM($B$20,$B$21,$B$22)*100)</f>
        <v>19.008264462809919</v>
      </c>
      <c r="D22" s="232"/>
      <c r="E22" s="16"/>
    </row>
    <row r="23" spans="1:7">
      <c r="A23" s="174" t="s">
        <v>76</v>
      </c>
      <c r="B23" s="38">
        <f>aantalw2001_niet_gespec</f>
        <v>106</v>
      </c>
      <c r="C23" s="169" t="s">
        <v>111</v>
      </c>
      <c r="D23" s="231"/>
      <c r="E23" s="16"/>
    </row>
    <row r="24" spans="1:7">
      <c r="A24" s="174" t="s">
        <v>77</v>
      </c>
      <c r="B24" s="38">
        <f>aantalw2001_steenkool</f>
        <v>207</v>
      </c>
      <c r="C24" s="169" t="s">
        <v>111</v>
      </c>
      <c r="D24" s="232"/>
      <c r="E24" s="16"/>
    </row>
    <row r="25" spans="1:7">
      <c r="A25" s="174" t="s">
        <v>78</v>
      </c>
      <c r="B25" s="38">
        <f>aantalw2001_stookolie</f>
        <v>2932</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11846</v>
      </c>
      <c r="C28" s="37"/>
      <c r="D28" s="231"/>
    </row>
    <row r="29" spans="1:7" s="16" customFormat="1">
      <c r="A29" s="233" t="s">
        <v>666</v>
      </c>
      <c r="B29" s="38">
        <f>SUM(HH_hh_gas_aantal,HH_rest_gas_aantal)</f>
        <v>9349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9349</v>
      </c>
      <c r="C32" s="170">
        <f>IF(ISERROR(B32/SUM($B$32,$B$34,$B$35,$B$36,$B$38,$B$39)*100),0,B32/SUM($B$32,$B$34,$B$35,$B$36,$B$38,$B$39)*100)</f>
        <v>79.081373710032139</v>
      </c>
      <c r="D32" s="236"/>
      <c r="G32" s="16"/>
    </row>
    <row r="33" spans="1:7">
      <c r="A33" s="174" t="s">
        <v>72</v>
      </c>
      <c r="B33" s="35" t="s">
        <v>111</v>
      </c>
      <c r="C33" s="170"/>
      <c r="D33" s="236"/>
      <c r="G33" s="16"/>
    </row>
    <row r="34" spans="1:7">
      <c r="A34" s="174" t="s">
        <v>73</v>
      </c>
      <c r="B34" s="34">
        <f>IF((($B$28-$B$32-$B$39-$B$77-$B$38)*C20/100)&lt;0,0,($B$28-$B$32-$B$39-$B$77-$B$38)*C20/100)</f>
        <v>437.37355371900827</v>
      </c>
      <c r="C34" s="170">
        <f>IF(ISERROR(B34/SUM($B$32,$B$34,$B$35,$B$36,$B$38,$B$39)*100),0,B34/SUM($B$32,$B$34,$B$35,$B$36,$B$38,$B$39)*100)</f>
        <v>3.6996578727711746</v>
      </c>
      <c r="D34" s="236"/>
      <c r="G34" s="16"/>
    </row>
    <row r="35" spans="1:7">
      <c r="A35" s="174" t="s">
        <v>74</v>
      </c>
      <c r="B35" s="34">
        <f>IF((($B$28-$B$32-$B$39-$B$77-$B$38)*C21/100)&lt;0,0,($B$28-$B$32-$B$39-$B$77-$B$38)*C21/100)</f>
        <v>1565.5520661157022</v>
      </c>
      <c r="C35" s="170">
        <f>IF(ISERROR(B35/SUM($B$32,$B$34,$B$35,$B$36,$B$38,$B$39)*100),0,B35/SUM($B$32,$B$34,$B$35,$B$36,$B$38,$B$39)*100)</f>
        <v>13.242700610012706</v>
      </c>
      <c r="D35" s="236"/>
      <c r="G35" s="16"/>
    </row>
    <row r="36" spans="1:7">
      <c r="A36" s="174" t="s">
        <v>75</v>
      </c>
      <c r="B36" s="34">
        <f>IF((($B$28-$B$32-$B$39-$B$77-$B$38)*C22/100)&lt;0,0,($B$28-$B$32-$B$39-$B$77-$B$38)*C22/100)</f>
        <v>470.07438016528926</v>
      </c>
      <c r="C36" s="170">
        <f>IF(ISERROR(B36/SUM($B$32,$B$34,$B$35,$B$36,$B$38,$B$39)*100),0,B36/SUM($B$32,$B$34,$B$35,$B$36,$B$38,$B$39)*100)</f>
        <v>3.9762678071839725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9349</v>
      </c>
      <c r="C44" s="35" t="s">
        <v>111</v>
      </c>
      <c r="D44" s="177"/>
    </row>
    <row r="45" spans="1:7">
      <c r="A45" s="174" t="s">
        <v>72</v>
      </c>
      <c r="B45" s="34" t="str">
        <f t="shared" si="0"/>
        <v>-</v>
      </c>
      <c r="C45" s="35" t="s">
        <v>111</v>
      </c>
      <c r="D45" s="177"/>
    </row>
    <row r="46" spans="1:7">
      <c r="A46" s="174" t="s">
        <v>73</v>
      </c>
      <c r="B46" s="34">
        <f t="shared" si="0"/>
        <v>437.37355371900827</v>
      </c>
      <c r="C46" s="35" t="s">
        <v>111</v>
      </c>
      <c r="D46" s="177"/>
    </row>
    <row r="47" spans="1:7">
      <c r="A47" s="174" t="s">
        <v>74</v>
      </c>
      <c r="B47" s="34">
        <f t="shared" si="0"/>
        <v>1565.5520661157022</v>
      </c>
      <c r="C47" s="35" t="s">
        <v>111</v>
      </c>
      <c r="D47" s="177"/>
    </row>
    <row r="48" spans="1:7">
      <c r="A48" s="174" t="s">
        <v>75</v>
      </c>
      <c r="B48" s="34">
        <f t="shared" si="0"/>
        <v>470.07438016528926</v>
      </c>
      <c r="C48" s="34">
        <f>B48*10</f>
        <v>4700.7438016528922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163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68024.400508667313</v>
      </c>
      <c r="C5" s="18">
        <f>IF(ISERROR('Eigen informatie GS &amp; warmtenet'!B58),0,'Eigen informatie GS &amp; warmtenet'!B58)</f>
        <v>0</v>
      </c>
      <c r="D5" s="31">
        <f>SUM(D6:D12)</f>
        <v>70364.795460048234</v>
      </c>
      <c r="E5" s="18">
        <f>SUM(E6:E12)</f>
        <v>486.45359663503712</v>
      </c>
      <c r="F5" s="18">
        <f>SUM(F6:F12)</f>
        <v>13632.591846807141</v>
      </c>
      <c r="G5" s="19"/>
      <c r="H5" s="18"/>
      <c r="I5" s="18"/>
      <c r="J5" s="18">
        <f>SUM(J6:J12)</f>
        <v>0</v>
      </c>
      <c r="K5" s="18"/>
      <c r="L5" s="18"/>
      <c r="M5" s="18"/>
      <c r="N5" s="18">
        <f>SUM(N6:N12)</f>
        <v>5210.7319609239676</v>
      </c>
      <c r="O5" s="18">
        <f>B38*B39*B40</f>
        <v>0</v>
      </c>
      <c r="P5" s="18">
        <f>B46*B47*B48/1000-B46*B47*B48/1000/B49</f>
        <v>152.53333333333333</v>
      </c>
      <c r="R5" s="33"/>
    </row>
    <row r="6" spans="1:18">
      <c r="A6" s="33" t="s">
        <v>54</v>
      </c>
      <c r="B6" s="38">
        <f>B26</f>
        <v>22460.358343903899</v>
      </c>
      <c r="C6" s="34"/>
      <c r="D6" s="38">
        <f>IF(ISERROR(TER_kantoor_gas_kWh/1000),0,TER_kantoor_gas_kWh/1000)*0.902</f>
        <v>15584.263428264914</v>
      </c>
      <c r="E6" s="34">
        <f>$C$26*'E Balans VL '!I12/100/3.6*1000000</f>
        <v>36.862000214542036</v>
      </c>
      <c r="F6" s="34">
        <f>$C$26*('E Balans VL '!L12+'E Balans VL '!N12)/100/3.6*1000000</f>
        <v>2647.5477852124091</v>
      </c>
      <c r="G6" s="35"/>
      <c r="H6" s="34"/>
      <c r="I6" s="34"/>
      <c r="J6" s="34">
        <f>$C$26*('E Balans VL '!D12+'E Balans VL '!E12)/100/3.6*1000000</f>
        <v>0</v>
      </c>
      <c r="K6" s="34"/>
      <c r="L6" s="34"/>
      <c r="M6" s="34"/>
      <c r="N6" s="34">
        <f>$C$26*'E Balans VL '!Y12/100/3.6*1000000</f>
        <v>4.538009044881731</v>
      </c>
      <c r="O6" s="34"/>
      <c r="P6" s="34"/>
      <c r="R6" s="33"/>
    </row>
    <row r="7" spans="1:18">
      <c r="A7" s="33" t="s">
        <v>53</v>
      </c>
      <c r="B7" s="38">
        <f t="shared" ref="B7:B12" si="0">B27</f>
        <v>4181.2059580596897</v>
      </c>
      <c r="C7" s="34"/>
      <c r="D7" s="38">
        <f>IF(ISERROR(TER_horeca_gas_kWh/1000),0,TER_horeca_gas_kWh/1000)*0.902</f>
        <v>5153.5100841817093</v>
      </c>
      <c r="E7" s="34">
        <f>$C$27*'E Balans VL '!I9/100/3.6*1000000</f>
        <v>216.97433336953421</v>
      </c>
      <c r="F7" s="34">
        <f>$C$27*('E Balans VL '!L9+'E Balans VL '!N9)/100/3.6*1000000</f>
        <v>954.15423352730079</v>
      </c>
      <c r="G7" s="35"/>
      <c r="H7" s="34"/>
      <c r="I7" s="34"/>
      <c r="J7" s="34">
        <f>$C$27*('E Balans VL '!D9+'E Balans VL '!E9)/100/3.6*1000000</f>
        <v>0</v>
      </c>
      <c r="K7" s="34"/>
      <c r="L7" s="34"/>
      <c r="M7" s="34"/>
      <c r="N7" s="34">
        <f>$C$27*'E Balans VL '!Y9/100/3.6*1000000</f>
        <v>0.44153343304987758</v>
      </c>
      <c r="O7" s="34"/>
      <c r="P7" s="34"/>
      <c r="R7" s="33"/>
    </row>
    <row r="8" spans="1:18">
      <c r="A8" s="6" t="s">
        <v>52</v>
      </c>
      <c r="B8" s="38">
        <f t="shared" si="0"/>
        <v>24569.814552361498</v>
      </c>
      <c r="C8" s="34"/>
      <c r="D8" s="38">
        <f>IF(ISERROR(TER_handel_gas_kWh/1000),0,TER_handel_gas_kWh/1000)*0.902</f>
        <v>19551.590774180753</v>
      </c>
      <c r="E8" s="34">
        <f>$C$28*'E Balans VL '!I13/100/3.6*1000000</f>
        <v>132.31147059338721</v>
      </c>
      <c r="F8" s="34">
        <f>$C$28*('E Balans VL '!L13+'E Balans VL '!N13)/100/3.6*1000000</f>
        <v>5010.515336352837</v>
      </c>
      <c r="G8" s="35"/>
      <c r="H8" s="34"/>
      <c r="I8" s="34"/>
      <c r="J8" s="34">
        <f>$C$28*('E Balans VL '!D13+'E Balans VL '!E13)/100/3.6*1000000</f>
        <v>0</v>
      </c>
      <c r="K8" s="34"/>
      <c r="L8" s="34"/>
      <c r="M8" s="34"/>
      <c r="N8" s="34">
        <f>$C$28*'E Balans VL '!Y13/100/3.6*1000000</f>
        <v>122.17271282156841</v>
      </c>
      <c r="O8" s="34"/>
      <c r="P8" s="34"/>
      <c r="R8" s="33"/>
    </row>
    <row r="9" spans="1:18">
      <c r="A9" s="33" t="s">
        <v>51</v>
      </c>
      <c r="B9" s="38">
        <f t="shared" si="0"/>
        <v>2306.5107251689701</v>
      </c>
      <c r="C9" s="34"/>
      <c r="D9" s="38">
        <f>IF(ISERROR(TER_gezond_gas_kWh/1000),0,TER_gezond_gas_kWh/1000)*0.902</f>
        <v>7126.0374553596312</v>
      </c>
      <c r="E9" s="34">
        <f>$C$29*'E Balans VL '!I10/100/3.6*1000000</f>
        <v>2.2857783581738622</v>
      </c>
      <c r="F9" s="34">
        <f>$C$29*('E Balans VL '!L10+'E Balans VL '!N10)/100/3.6*1000000</f>
        <v>800.29273901254248</v>
      </c>
      <c r="G9" s="35"/>
      <c r="H9" s="34"/>
      <c r="I9" s="34"/>
      <c r="J9" s="34">
        <f>$C$29*('E Balans VL '!D10+'E Balans VL '!E10)/100/3.6*1000000</f>
        <v>0</v>
      </c>
      <c r="K9" s="34"/>
      <c r="L9" s="34"/>
      <c r="M9" s="34"/>
      <c r="N9" s="34">
        <f>$C$29*'E Balans VL '!Y10/100/3.6*1000000</f>
        <v>19.875003106714857</v>
      </c>
      <c r="O9" s="34"/>
      <c r="P9" s="34"/>
      <c r="R9" s="33"/>
    </row>
    <row r="10" spans="1:18">
      <c r="A10" s="33" t="s">
        <v>50</v>
      </c>
      <c r="B10" s="38">
        <f t="shared" si="0"/>
        <v>8398.4016463293192</v>
      </c>
      <c r="C10" s="34"/>
      <c r="D10" s="38">
        <f>IF(ISERROR(TER_ander_gas_kWh/1000),0,TER_ander_gas_kWh/1000)*0.902</f>
        <v>9192.9839209848215</v>
      </c>
      <c r="E10" s="34">
        <f>$C$30*'E Balans VL '!I14/100/3.6*1000000</f>
        <v>68.70731907164496</v>
      </c>
      <c r="F10" s="34">
        <f>$C$30*('E Balans VL '!L14+'E Balans VL '!N14)/100/3.6*1000000</f>
        <v>2455.3507282948281</v>
      </c>
      <c r="G10" s="35"/>
      <c r="H10" s="34"/>
      <c r="I10" s="34"/>
      <c r="J10" s="34">
        <f>$C$30*('E Balans VL '!D14+'E Balans VL '!E14)/100/3.6*1000000</f>
        <v>0</v>
      </c>
      <c r="K10" s="34"/>
      <c r="L10" s="34"/>
      <c r="M10" s="34"/>
      <c r="N10" s="34">
        <f>$C$30*'E Balans VL '!Y14/100/3.6*1000000</f>
        <v>4844.7757865262492</v>
      </c>
      <c r="O10" s="34"/>
      <c r="P10" s="34"/>
      <c r="R10" s="33"/>
    </row>
    <row r="11" spans="1:18">
      <c r="A11" s="33" t="s">
        <v>55</v>
      </c>
      <c r="B11" s="38">
        <f t="shared" si="0"/>
        <v>2924.1650302312796</v>
      </c>
      <c r="C11" s="34"/>
      <c r="D11" s="38">
        <f>IF(ISERROR(TER_onderwijs_gas_kWh/1000),0,TER_onderwijs_gas_kWh/1000)*0.902</f>
        <v>4980.1129698989716</v>
      </c>
      <c r="E11" s="34">
        <f>$C$31*'E Balans VL '!I11/100/3.6*1000000</f>
        <v>1.8023319418622692</v>
      </c>
      <c r="F11" s="34">
        <f>$C$31*('E Balans VL '!L11+'E Balans VL '!N11)/100/3.6*1000000</f>
        <v>1130.5295565730994</v>
      </c>
      <c r="G11" s="35"/>
      <c r="H11" s="34"/>
      <c r="I11" s="34"/>
      <c r="J11" s="34">
        <f>$C$31*('E Balans VL '!D11+'E Balans VL '!E11)/100/3.6*1000000</f>
        <v>0</v>
      </c>
      <c r="K11" s="34"/>
      <c r="L11" s="34"/>
      <c r="M11" s="34"/>
      <c r="N11" s="34">
        <f>$C$31*'E Balans VL '!Y11/100/3.6*1000000</f>
        <v>9.5116822081559391</v>
      </c>
      <c r="O11" s="34"/>
      <c r="P11" s="34"/>
      <c r="R11" s="33"/>
    </row>
    <row r="12" spans="1:18">
      <c r="A12" s="33" t="s">
        <v>260</v>
      </c>
      <c r="B12" s="38">
        <f t="shared" si="0"/>
        <v>3183.94425261266</v>
      </c>
      <c r="C12" s="34"/>
      <c r="D12" s="38">
        <f>IF(ISERROR(TER_rest_gas_kWh/1000),0,TER_rest_gas_kWh/1000)*0.902</f>
        <v>8776.2968271774298</v>
      </c>
      <c r="E12" s="34">
        <f>$C$32*'E Balans VL '!I8/100/3.6*1000000</f>
        <v>27.510363085892557</v>
      </c>
      <c r="F12" s="34">
        <f>$C$32*('E Balans VL '!L8+'E Balans VL '!N8)/100/3.6*1000000</f>
        <v>634.20146783412304</v>
      </c>
      <c r="G12" s="35"/>
      <c r="H12" s="34"/>
      <c r="I12" s="34"/>
      <c r="J12" s="34">
        <f>$C$32*('E Balans VL '!D8+'E Balans VL '!E8)/100/3.6*1000000</f>
        <v>0</v>
      </c>
      <c r="K12" s="34"/>
      <c r="L12" s="34"/>
      <c r="M12" s="34"/>
      <c r="N12" s="34">
        <f>$C$32*'E Balans VL '!Y8/100/3.6*1000000</f>
        <v>209.41723378334677</v>
      </c>
      <c r="O12" s="34"/>
      <c r="P12" s="34"/>
      <c r="R12" s="33"/>
    </row>
    <row r="13" spans="1:18">
      <c r="A13" s="17" t="s">
        <v>502</v>
      </c>
      <c r="B13" s="250">
        <f ca="1">'lokale energieproductie'!N90+'lokale energieproductie'!N59</f>
        <v>900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-2571.4285714285716</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68924.400508667313</v>
      </c>
      <c r="C16" s="22">
        <f t="shared" ca="1" si="1"/>
        <v>0</v>
      </c>
      <c r="D16" s="22">
        <f t="shared" ca="1" si="1"/>
        <v>70364.795460048234</v>
      </c>
      <c r="E16" s="22">
        <f t="shared" si="1"/>
        <v>486.45359663503712</v>
      </c>
      <c r="F16" s="22">
        <f t="shared" ca="1" si="1"/>
        <v>13632.591846807141</v>
      </c>
      <c r="G16" s="22">
        <f t="shared" si="1"/>
        <v>0</v>
      </c>
      <c r="H16" s="22">
        <f t="shared" si="1"/>
        <v>0</v>
      </c>
      <c r="I16" s="22">
        <f t="shared" si="1"/>
        <v>0</v>
      </c>
      <c r="J16" s="22">
        <f t="shared" si="1"/>
        <v>0</v>
      </c>
      <c r="K16" s="22">
        <f t="shared" si="1"/>
        <v>0</v>
      </c>
      <c r="L16" s="22">
        <f t="shared" ca="1" si="1"/>
        <v>0</v>
      </c>
      <c r="M16" s="22">
        <f t="shared" si="1"/>
        <v>0</v>
      </c>
      <c r="N16" s="22">
        <f t="shared" ca="1" si="1"/>
        <v>2639.303389495396</v>
      </c>
      <c r="O16" s="22">
        <f>O5</f>
        <v>0</v>
      </c>
      <c r="P16" s="22">
        <f>P5</f>
        <v>152.53333333333333</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0.21241553661167092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14640.613519686292</v>
      </c>
      <c r="C20" s="24">
        <f t="shared" ref="C20:P20" ca="1" si="2">C16*C18</f>
        <v>0</v>
      </c>
      <c r="D20" s="24">
        <f t="shared" ca="1" si="2"/>
        <v>14213.688682929744</v>
      </c>
      <c r="E20" s="24">
        <f t="shared" si="2"/>
        <v>110.42496643615343</v>
      </c>
      <c r="F20" s="24">
        <f t="shared" ca="1" si="2"/>
        <v>3639.902023097507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22460.358343903899</v>
      </c>
      <c r="C26" s="40">
        <f>IF(ISERROR(B26*3.6/1000000/'E Balans VL '!Z12*100),0,B26*3.6/1000000/'E Balans VL '!Z12*100)</f>
        <v>0.47726650778773683</v>
      </c>
      <c r="D26" s="240" t="s">
        <v>707</v>
      </c>
      <c r="F26" s="6"/>
    </row>
    <row r="27" spans="1:18">
      <c r="A27" s="234" t="s">
        <v>53</v>
      </c>
      <c r="B27" s="34">
        <f>IF(ISERROR(TER_horeca_ele_kWh/1000),0,TER_horeca_ele_kWh/1000)</f>
        <v>4181.2059580596897</v>
      </c>
      <c r="C27" s="40">
        <f>IF(ISERROR(B27*3.6/1000000/'E Balans VL '!Z9*100),0,B27*3.6/1000000/'E Balans VL '!Z9*100)</f>
        <v>0.32909324202475349</v>
      </c>
      <c r="D27" s="240" t="s">
        <v>707</v>
      </c>
      <c r="F27" s="6"/>
    </row>
    <row r="28" spans="1:18">
      <c r="A28" s="174" t="s">
        <v>52</v>
      </c>
      <c r="B28" s="34">
        <f>IF(ISERROR(TER_handel_ele_kWh/1000),0,TER_handel_ele_kWh/1000)</f>
        <v>24569.814552361498</v>
      </c>
      <c r="C28" s="40">
        <f>IF(ISERROR(B28*3.6/1000000/'E Balans VL '!Z13*100),0,B28*3.6/1000000/'E Balans VL '!Z13*100)</f>
        <v>0.6882136548572656</v>
      </c>
      <c r="D28" s="240" t="s">
        <v>707</v>
      </c>
      <c r="F28" s="6"/>
    </row>
    <row r="29" spans="1:18">
      <c r="A29" s="234" t="s">
        <v>51</v>
      </c>
      <c r="B29" s="34">
        <f>IF(ISERROR(TER_gezond_ele_kWh/1000),0,TER_gezond_ele_kWh/1000)</f>
        <v>2306.5107251689701</v>
      </c>
      <c r="C29" s="40">
        <f>IF(ISERROR(B29*3.6/1000000/'E Balans VL '!Z10*100),0,B29*3.6/1000000/'E Balans VL '!Z10*100)</f>
        <v>0.29507246782445962</v>
      </c>
      <c r="D29" s="240" t="s">
        <v>707</v>
      </c>
      <c r="F29" s="6"/>
    </row>
    <row r="30" spans="1:18">
      <c r="A30" s="234" t="s">
        <v>50</v>
      </c>
      <c r="B30" s="34">
        <f>IF(ISERROR(TER_ander_ele_kWh/1000),0,TER_ander_ele_kWh/1000)</f>
        <v>8398.4016463293192</v>
      </c>
      <c r="C30" s="40">
        <f>IF(ISERROR(B30*3.6/1000000/'E Balans VL '!Z14*100),0,B30*3.6/1000000/'E Balans VL '!Z14*100)</f>
        <v>0.62812967697695399</v>
      </c>
      <c r="D30" s="240" t="s">
        <v>707</v>
      </c>
      <c r="F30" s="6"/>
    </row>
    <row r="31" spans="1:18">
      <c r="A31" s="234" t="s">
        <v>55</v>
      </c>
      <c r="B31" s="34">
        <f>IF(ISERROR(TER_onderwijs_ele_kWh/1000),0,TER_onderwijs_ele_kWh/1000)</f>
        <v>2924.1650302312796</v>
      </c>
      <c r="C31" s="40">
        <f>IF(ISERROR(B31*3.6/1000000/'E Balans VL '!Z11*100),0,B31*3.6/1000000/'E Balans VL '!Z11*100)</f>
        <v>0.61744123389522487</v>
      </c>
      <c r="D31" s="240" t="s">
        <v>707</v>
      </c>
    </row>
    <row r="32" spans="1:18">
      <c r="A32" s="234" t="s">
        <v>260</v>
      </c>
      <c r="B32" s="34">
        <f>IF(ISERROR(TER_rest_ele_kWh/1000),0,TER_rest_ele_kWh/1000)</f>
        <v>3183.94425261266</v>
      </c>
      <c r="C32" s="40">
        <f>IF(ISERROR(B32*3.6/1000000/'E Balans VL '!Z8*100),0,B32*3.6/1000000/'E Balans VL '!Z8*100)</f>
        <v>2.6229116453170165E-2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8</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123980.33302326698</v>
      </c>
      <c r="C5" s="18">
        <f>IF(ISERROR('Eigen informatie GS &amp; warmtenet'!B59),0,'Eigen informatie GS &amp; warmtenet'!B59)</f>
        <v>0</v>
      </c>
      <c r="D5" s="31">
        <f>SUM(D6:D15)</f>
        <v>73945.153923645252</v>
      </c>
      <c r="E5" s="18">
        <f>SUM(E6:E15)</f>
        <v>1116.8717699932658</v>
      </c>
      <c r="F5" s="18">
        <f>SUM(F6:F15)</f>
        <v>29407.522003140446</v>
      </c>
      <c r="G5" s="19"/>
      <c r="H5" s="18"/>
      <c r="I5" s="18"/>
      <c r="J5" s="18">
        <f>SUM(J6:J15)</f>
        <v>781.46962673994767</v>
      </c>
      <c r="K5" s="18"/>
      <c r="L5" s="18"/>
      <c r="M5" s="18"/>
      <c r="N5" s="18">
        <f>SUM(N6:N15)</f>
        <v>4014.16378566195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22277.683597007901</v>
      </c>
      <c r="C8" s="34"/>
      <c r="D8" s="38">
        <f>IF( ISERROR(IND_metaal_Gas_kWH/1000),0,IND_metaal_Gas_kWH/1000)*0.902</f>
        <v>1623.5420708827016</v>
      </c>
      <c r="E8" s="34">
        <f>C30*'E Balans VL '!I18/100/3.6*1000000</f>
        <v>202.87884980413864</v>
      </c>
      <c r="F8" s="34">
        <f>C30*'E Balans VL '!L18/100/3.6*1000000+C30*'E Balans VL '!N18/100/3.6*1000000</f>
        <v>2938.2572868103553</v>
      </c>
      <c r="G8" s="35"/>
      <c r="H8" s="34"/>
      <c r="I8" s="34"/>
      <c r="J8" s="41">
        <f>C30*'E Balans VL '!D18/100/3.6*1000000+C30*'E Balans VL '!E18/100/3.6*1000000</f>
        <v>365.32166495909246</v>
      </c>
      <c r="K8" s="34"/>
      <c r="L8" s="34"/>
      <c r="M8" s="34"/>
      <c r="N8" s="34">
        <f>C30*'E Balans VL '!Y18/100/3.6*1000000</f>
        <v>76.559548735808661</v>
      </c>
      <c r="O8" s="34"/>
      <c r="P8" s="34"/>
      <c r="R8" s="33"/>
    </row>
    <row r="9" spans="1:18">
      <c r="A9" s="6" t="s">
        <v>33</v>
      </c>
      <c r="B9" s="38">
        <f t="shared" si="0"/>
        <v>11710.0532092588</v>
      </c>
      <c r="C9" s="34"/>
      <c r="D9" s="38">
        <f>IF( ISERROR(IND_andere_gas_kWh/1000),0,IND_andere_gas_kWh/1000)*0.902</f>
        <v>4783.9600364817397</v>
      </c>
      <c r="E9" s="34">
        <f>C31*'E Balans VL '!I19/100/3.6*1000000</f>
        <v>67.685857472226672</v>
      </c>
      <c r="F9" s="34">
        <f>C31*'E Balans VL '!L19/100/3.6*1000000+C31*'E Balans VL '!N19/100/3.6*1000000</f>
        <v>9315.9107934286603</v>
      </c>
      <c r="G9" s="35"/>
      <c r="H9" s="34"/>
      <c r="I9" s="34"/>
      <c r="J9" s="41">
        <f>C31*'E Balans VL '!D19/100/3.6*1000000+C31*'E Balans VL '!E19/100/3.6*1000000</f>
        <v>1.1076409620089556</v>
      </c>
      <c r="K9" s="34"/>
      <c r="L9" s="34"/>
      <c r="M9" s="34"/>
      <c r="N9" s="34">
        <f>C31*'E Balans VL '!Y19/100/3.6*1000000</f>
        <v>887.2137424344894</v>
      </c>
      <c r="O9" s="34"/>
      <c r="P9" s="34"/>
      <c r="R9" s="33"/>
    </row>
    <row r="10" spans="1:18">
      <c r="A10" s="6" t="s">
        <v>41</v>
      </c>
      <c r="B10" s="38">
        <f t="shared" si="0"/>
        <v>6351.9339163208506</v>
      </c>
      <c r="C10" s="34"/>
      <c r="D10" s="38">
        <f>IF( ISERROR(IND_voed_gas_kWh/1000),0,IND_voed_gas_kWh/1000)*0.902</f>
        <v>9233.5626612106698</v>
      </c>
      <c r="E10" s="34">
        <f>C32*'E Balans VL '!I20/100/3.6*1000000</f>
        <v>62.456128017700088</v>
      </c>
      <c r="F10" s="34">
        <f>C32*'E Balans VL '!L20/100/3.6*1000000+C32*'E Balans VL '!N20/100/3.6*1000000</f>
        <v>705.46517094203909</v>
      </c>
      <c r="G10" s="35"/>
      <c r="H10" s="34"/>
      <c r="I10" s="34"/>
      <c r="J10" s="41">
        <f>C32*'E Balans VL '!D20/100/3.6*1000000+C32*'E Balans VL '!E20/100/3.6*1000000</f>
        <v>2.5035855168705358E-2</v>
      </c>
      <c r="K10" s="34"/>
      <c r="L10" s="34"/>
      <c r="M10" s="34"/>
      <c r="N10" s="34">
        <f>C32*'E Balans VL '!Y20/100/3.6*1000000</f>
        <v>94.057199977209663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181.056511402815</v>
      </c>
      <c r="C12" s="34"/>
      <c r="D12" s="38">
        <f>IF( ISERROR(IND_min_gas_kWh/1000),0,IND_min_gas_kWh/1000)*0.902</f>
        <v>0</v>
      </c>
      <c r="E12" s="34">
        <f>C34*'E Balans VL '!I22/100/3.6*1000000</f>
        <v>4.5901047532322181</v>
      </c>
      <c r="F12" s="34">
        <f>C34*'E Balans VL '!L22/100/3.6*1000000+C34*'E Balans VL '!N22/100/3.6*1000000</f>
        <v>50.098967793974595</v>
      </c>
      <c r="G12" s="35"/>
      <c r="H12" s="34"/>
      <c r="I12" s="34"/>
      <c r="J12" s="41">
        <f>C34*'E Balans VL '!D22/100/3.6*1000000+C34*'E Balans VL '!E22/100/3.6*1000000</f>
        <v>1.195733584778147</v>
      </c>
      <c r="K12" s="34"/>
      <c r="L12" s="34"/>
      <c r="M12" s="34"/>
      <c r="N12" s="34">
        <f>C34*'E Balans VL '!Y22/100/3.6*1000000</f>
        <v>0</v>
      </c>
      <c r="O12" s="34"/>
      <c r="P12" s="34"/>
      <c r="R12" s="33"/>
    </row>
    <row r="13" spans="1:18">
      <c r="A13" s="6" t="s">
        <v>39</v>
      </c>
      <c r="B13" s="38">
        <f t="shared" si="0"/>
        <v>1169.2011362314101</v>
      </c>
      <c r="C13" s="34"/>
      <c r="D13" s="38">
        <f>IF( ISERROR(IND_papier_gas_kWh/1000),0,IND_papier_gas_kWh/1000)*0.902</f>
        <v>804.79265607881644</v>
      </c>
      <c r="E13" s="34">
        <f>C35*'E Balans VL '!I23/100/3.6*1000000</f>
        <v>39.824685932088364</v>
      </c>
      <c r="F13" s="34">
        <f>C35*'E Balans VL '!L23/100/3.6*1000000+C35*'E Balans VL '!N23/100/3.6*1000000</f>
        <v>193.12458714543527</v>
      </c>
      <c r="G13" s="35"/>
      <c r="H13" s="34"/>
      <c r="I13" s="34"/>
      <c r="J13" s="41">
        <f>C35*'E Balans VL '!D23/100/3.6*1000000+C35*'E Balans VL '!E23/100/3.6*1000000</f>
        <v>0</v>
      </c>
      <c r="K13" s="34"/>
      <c r="L13" s="34"/>
      <c r="M13" s="34"/>
      <c r="N13" s="34">
        <f>C35*'E Balans VL '!Y23/100/3.6*1000000</f>
        <v>430.23466258936855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82290.404653045203</v>
      </c>
      <c r="C15" s="34"/>
      <c r="D15" s="38">
        <f>IF( ISERROR(IND_rest_gas_kWh/1000),0,IND_rest_gas_kWh/1000)*0.902</f>
        <v>57499.296498991323</v>
      </c>
      <c r="E15" s="34">
        <f>C37*'E Balans VL '!I15/100/3.6*1000000</f>
        <v>739.43614401387993</v>
      </c>
      <c r="F15" s="34">
        <f>C37*'E Balans VL '!L15/100/3.6*1000000+C37*'E Balans VL '!N15/100/3.6*1000000</f>
        <v>16204.66519701998</v>
      </c>
      <c r="G15" s="35"/>
      <c r="H15" s="34"/>
      <c r="I15" s="34"/>
      <c r="J15" s="41">
        <f>C37*'E Balans VL '!D15/100/3.6*1000000+C37*'E Balans VL '!E15/100/3.6*1000000</f>
        <v>413.8195513788994</v>
      </c>
      <c r="K15" s="34"/>
      <c r="L15" s="34"/>
      <c r="M15" s="34"/>
      <c r="N15" s="34">
        <f>C37*'E Balans VL '!Y15/100/3.6*1000000</f>
        <v>2526.0986319250737</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123980.33302326698</v>
      </c>
      <c r="C18" s="22">
        <f>C5+C16</f>
        <v>0</v>
      </c>
      <c r="D18" s="22">
        <f>MAX((D5+D16),0)</f>
        <v>73945.153923645252</v>
      </c>
      <c r="E18" s="22">
        <f>MAX((E5+E16),0)</f>
        <v>1116.8717699932658</v>
      </c>
      <c r="F18" s="22">
        <f>MAX((F5+F16),0)</f>
        <v>29407.522003140446</v>
      </c>
      <c r="G18" s="22"/>
      <c r="H18" s="22"/>
      <c r="I18" s="22"/>
      <c r="J18" s="22">
        <f>MAX((J5+J16),0)</f>
        <v>781.46962673994767</v>
      </c>
      <c r="K18" s="22"/>
      <c r="L18" s="22">
        <f>MAX((L5+L16),0)</f>
        <v>0</v>
      </c>
      <c r="M18" s="22"/>
      <c r="N18" s="22">
        <f>MAX((N5+N16),0)</f>
        <v>4014.16378566195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0.21241553661167092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26335.348968430921</v>
      </c>
      <c r="C22" s="24">
        <f ca="1">C18*C20</f>
        <v>0</v>
      </c>
      <c r="D22" s="24">
        <f>D18*D20</f>
        <v>14936.921092576342</v>
      </c>
      <c r="E22" s="24">
        <f>E18*E20</f>
        <v>253.52989178847136</v>
      </c>
      <c r="F22" s="24">
        <f>F18*F20</f>
        <v>7851.8083748384997</v>
      </c>
      <c r="G22" s="24"/>
      <c r="H22" s="24"/>
      <c r="I22" s="24"/>
      <c r="J22" s="24">
        <f>J18*J20</f>
        <v>276.64024786594143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22277.683597007901</v>
      </c>
      <c r="C30" s="40">
        <f>IF(ISERROR(B30*3.6/1000000/'E Balans VL '!Z18*100),0,B30*3.6/1000000/'E Balans VL '!Z18*100)</f>
        <v>1.239604122581397</v>
      </c>
      <c r="D30" s="240" t="s">
        <v>707</v>
      </c>
    </row>
    <row r="31" spans="1:18">
      <c r="A31" s="6" t="s">
        <v>33</v>
      </c>
      <c r="B31" s="38">
        <f>IF( ISERROR(IND_ander_ele_kWh/1000),0,IND_ander_ele_kWh/1000)</f>
        <v>11710.0532092588</v>
      </c>
      <c r="C31" s="40">
        <f>IF(ISERROR(B31*3.6/1000000/'E Balans VL '!Z19*100),0,B31*3.6/1000000/'E Balans VL '!Z19*100)</f>
        <v>0.54436961955388941</v>
      </c>
      <c r="D31" s="240" t="s">
        <v>707</v>
      </c>
    </row>
    <row r="32" spans="1:18">
      <c r="A32" s="174" t="s">
        <v>41</v>
      </c>
      <c r="B32" s="38">
        <f>IF( ISERROR(IND_voed_ele_kWh/1000),0,IND_voed_ele_kWh/1000)</f>
        <v>6351.9339163208506</v>
      </c>
      <c r="C32" s="40">
        <f>IF(ISERROR(B32*3.6/1000000/'E Balans VL '!Z20*100),0,B32*3.6/1000000/'E Balans VL '!Z20*100)</f>
        <v>0.22452803566811505</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181.056511402815</v>
      </c>
      <c r="C34" s="40">
        <f>IF(ISERROR(B34*3.6/1000000/'E Balans VL '!Z22*100),0,B34*3.6/1000000/'E Balans VL '!Z22*100)</f>
        <v>3.6387253170833071E-2</v>
      </c>
      <c r="D34" s="240" t="s">
        <v>707</v>
      </c>
    </row>
    <row r="35" spans="1:5">
      <c r="A35" s="174" t="s">
        <v>39</v>
      </c>
      <c r="B35" s="38">
        <f>IF( ISERROR(IND_papier_ele_kWh/1000),0,IND_papier_ele_kWh/1000)</f>
        <v>1169.2011362314101</v>
      </c>
      <c r="C35" s="40">
        <f>IF(ISERROR(B35*3.6/1000000/'E Balans VL '!Z22*100),0,B35*3.6/1000000/'E Balans VL '!Z22*100)</f>
        <v>0.23497645802434561</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82290.404653045203</v>
      </c>
      <c r="C37" s="40">
        <f>IF(ISERROR(B37*3.6/1000000/'E Balans VL '!Z15*100),0,B37*3.6/1000000/'E Balans VL '!Z15*100)</f>
        <v>0.6214141164400534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1304.79495931414</v>
      </c>
      <c r="C5" s="18">
        <f>'Eigen informatie GS &amp; warmtenet'!B60</f>
        <v>0</v>
      </c>
      <c r="D5" s="31">
        <f>IF(ISERROR(SUM(LB_lb_gas_kWh,LB_rest_gas_kWh,onbekend_gas_kWh)/1000),0,SUM(LB_lb_gas_kWh,LB_rest_gas_kWh,onbekend_gas_kWh)/1000)*0.902</f>
        <v>44268.236270814312</v>
      </c>
      <c r="E5" s="18">
        <f>B17*'E Balans VL '!I25/3.6*1000000/100</f>
        <v>12.292042758039763</v>
      </c>
      <c r="F5" s="18">
        <f>B17*('E Balans VL '!L25/3.6*1000000+'E Balans VL '!N25/3.6*1000000)/100</f>
        <v>4257.9789756595055</v>
      </c>
      <c r="G5" s="19"/>
      <c r="H5" s="18"/>
      <c r="I5" s="18"/>
      <c r="J5" s="18">
        <f>('E Balans VL '!D25+'E Balans VL '!E25)/3.6*1000000*landbouw!B17/100</f>
        <v>161.4094829886221</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1304.79495931414</v>
      </c>
      <c r="C8" s="22">
        <f>C5+C6</f>
        <v>0</v>
      </c>
      <c r="D8" s="22">
        <f>MAX((D5+D6),0)</f>
        <v>44268.236270814312</v>
      </c>
      <c r="E8" s="22">
        <f>MAX((E5+E6),0)</f>
        <v>12.292042758039763</v>
      </c>
      <c r="F8" s="22">
        <f>MAX((F5+F6),0)</f>
        <v>4257.9789756595055</v>
      </c>
      <c r="G8" s="22"/>
      <c r="H8" s="22"/>
      <c r="I8" s="22"/>
      <c r="J8" s="22">
        <f>MAX((J5+J6),0)</f>
        <v>161.4094829886221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0.21241553661167092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277.1587214509164</v>
      </c>
      <c r="C12" s="24">
        <f ca="1">C8*C10</f>
        <v>0</v>
      </c>
      <c r="D12" s="24">
        <f>D8*D10</f>
        <v>8942.1837267044921</v>
      </c>
      <c r="E12" s="24">
        <f>E8*E10</f>
        <v>2.7902937060750261</v>
      </c>
      <c r="F12" s="24">
        <f>F8*F10</f>
        <v>1136.880386501088</v>
      </c>
      <c r="G12" s="24"/>
      <c r="H12" s="24"/>
      <c r="I12" s="24"/>
      <c r="J12" s="24">
        <f>J8*J10</f>
        <v>57.138956977972221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0.17664838753419465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146.7981565120794</v>
      </c>
      <c r="C26" s="250">
        <f>B26*'GWP N2O_CH4'!B5</f>
        <v>3082.7612867536673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66.895693379896187</v>
      </c>
      <c r="C27" s="250">
        <f>B27*'GWP N2O_CH4'!B5</f>
        <v>1404.80956097782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3.260301022788973</v>
      </c>
      <c r="C28" s="250">
        <f>B28*'GWP N2O_CH4'!B4</f>
        <v>1010.6933170645816</v>
      </c>
      <c r="D28" s="51"/>
    </row>
    <row r="29" spans="1:4">
      <c r="A29" s="42" t="s">
        <v>277</v>
      </c>
      <c r="B29" s="250">
        <f>B34*'ha_N2O bodem landbouw'!B4</f>
        <v>8.2675319163565604</v>
      </c>
      <c r="C29" s="250">
        <f>B29*'GWP N2O_CH4'!B4</f>
        <v>2562.9348940705336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2.2319733533054499E-3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1.7490720225390561E-5</v>
      </c>
      <c r="C5" s="447" t="s">
        <v>211</v>
      </c>
      <c r="D5" s="432">
        <f>SUM(D6:D11)</f>
        <v>4.7905182210489179E-5</v>
      </c>
      <c r="E5" s="432">
        <f>SUM(E6:E11)</f>
        <v>3.0262691806026754E-3</v>
      </c>
      <c r="F5" s="445" t="s">
        <v>211</v>
      </c>
      <c r="G5" s="432">
        <f>SUM(G6:G11)</f>
        <v>0.63203568545985267</v>
      </c>
      <c r="H5" s="432">
        <f>SUM(H6:H11)</f>
        <v>0.10869272284509586</v>
      </c>
      <c r="I5" s="447" t="s">
        <v>211</v>
      </c>
      <c r="J5" s="447" t="s">
        <v>211</v>
      </c>
      <c r="K5" s="447" t="s">
        <v>211</v>
      </c>
      <c r="L5" s="447" t="s">
        <v>211</v>
      </c>
      <c r="M5" s="432">
        <f>SUM(M6:M11)</f>
        <v>3.3116728200272547E-2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8.7643480610794151E-6</v>
      </c>
      <c r="C6" s="433"/>
      <c r="D6" s="433">
        <f>vkm_2011_GW_PW*SUMIFS(TableVerdeelsleutelVkm[CNG],TableVerdeelsleutelVkm[Voertuigtype],"Lichte voertuigen")*SUMIFS(TableECFTransport[EnergieConsumptieFactor (PJ per km)],TableECFTransport[Index],CONCATENATE($A6,"_CNG_CNG"))</f>
        <v>2.1402684742625861E-5</v>
      </c>
      <c r="E6" s="435">
        <f>vkm_2011_GW_PW*SUMIFS(TableVerdeelsleutelVkm[LPG],TableVerdeelsleutelVkm[Voertuigtype],"Lichte voertuigen")*SUMIFS(TableECFTransport[EnergieConsumptieFactor (PJ per km)],TableECFTransport[Index],CONCATENATE($A6,"_LPG_LPG"))</f>
        <v>1.2686405454426107E-3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0.18339691446682999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4.8063062386004309E-2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1.0365204023161517E-2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7.1513082251833657E-2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2.8852740627885946E-5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3.1858856883264669E-3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2.3991213759762344E-6</v>
      </c>
      <c r="C8" s="433"/>
      <c r="D8" s="435">
        <f>vkm_2011_NGW_PW*SUMIFS(TableVerdeelsleutelVkm[CNG],TableVerdeelsleutelVkm[Voertuigtype],"Lichte voertuigen")*SUMIFS(TableECFTransport[EnergieConsumptieFactor (PJ per km)],TableECFTransport[Index],CONCATENATE($A8,"_CNG_CNG"))</f>
        <v>1.0511493472406423E-5</v>
      </c>
      <c r="E8" s="435">
        <f>vkm_2011_NGW_PW*SUMIFS(TableVerdeelsleutelVkm[LPG],TableVerdeelsleutelVkm[Voertuigtype],"Lichte voertuigen")*SUMIFS(TableECFTransport[EnergieConsumptieFactor (PJ per km)],TableECFTransport[Index],CONCATENATE($A8,"_LPG_LPG"))</f>
        <v>5.7160150129773675E-4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7.8060943922235629E-2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2.2604268589378199E-2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4.5100264116213467E-3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1.8811606265490548E-2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6.6083616721497681E-6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8.3800635204484236E-4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6.3272507883349111E-6</v>
      </c>
      <c r="C10" s="433"/>
      <c r="D10" s="435">
        <f>vkm_2011_SW_PW*SUMIFS(TableVerdeelsleutelVkm[CNG],TableVerdeelsleutelVkm[Voertuigtype],"Lichte voertuigen")*SUMIFS(TableECFTransport[EnergieConsumptieFactor (PJ per km)],TableECFTransport[Index],CONCATENATE($A10,"_CNG_CNG"))</f>
        <v>1.5991003995456896E-5</v>
      </c>
      <c r="E10" s="435">
        <f>vkm_2011_SW_PW*SUMIFS(TableVerdeelsleutelVkm[LPG],TableVerdeelsleutelVkm[Voertuigtype],"Lichte voertuigen")*SUMIFS(TableECFTransport[EnergieConsumptieFactor (PJ per km)],TableECFTransport[Index],CONCATENATE($A10,"_LPG_LPG"))</f>
        <v>1.186027133862328E-3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0.15625244139699246</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3.7936852096057808E-2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8.693273566651066E-3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0.12400069715647036</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5.307867135549999E-5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5.5243321584673112E-3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4.858533395941822</v>
      </c>
      <c r="C14" s="22"/>
      <c r="D14" s="22">
        <f t="shared" ref="D14:M14" si="0">((D5)*10^9/3600)+D12</f>
        <v>13.306995058469216</v>
      </c>
      <c r="E14" s="22">
        <f t="shared" si="0"/>
        <v>840.63032794518756</v>
      </c>
      <c r="F14" s="22"/>
      <c r="G14" s="22">
        <f t="shared" si="0"/>
        <v>175565.46818329243</v>
      </c>
      <c r="H14" s="22">
        <f t="shared" si="0"/>
        <v>30192.423012526626</v>
      </c>
      <c r="I14" s="22"/>
      <c r="J14" s="22"/>
      <c r="K14" s="22"/>
      <c r="L14" s="22"/>
      <c r="M14" s="22">
        <f t="shared" si="0"/>
        <v>9199.0911667423734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0.21241553661167092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1.032027978444706</v>
      </c>
      <c r="C18" s="24"/>
      <c r="D18" s="24">
        <f t="shared" ref="D18:M18" si="1">D14*D16</f>
        <v>2.688013001810782</v>
      </c>
      <c r="E18" s="24">
        <f t="shared" si="1"/>
        <v>190.82308444355758</v>
      </c>
      <c r="F18" s="24"/>
      <c r="G18" s="24">
        <f t="shared" si="1"/>
        <v>46875.980004939083</v>
      </c>
      <c r="H18" s="24">
        <f t="shared" si="1"/>
        <v>7517.9133301191296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8.8711325045306398E-3</v>
      </c>
      <c r="H50" s="323">
        <f t="shared" si="2"/>
        <v>0</v>
      </c>
      <c r="I50" s="323">
        <f t="shared" si="2"/>
        <v>0</v>
      </c>
      <c r="J50" s="323">
        <f t="shared" si="2"/>
        <v>0</v>
      </c>
      <c r="K50" s="323">
        <f t="shared" si="2"/>
        <v>0</v>
      </c>
      <c r="L50" s="323">
        <f t="shared" si="2"/>
        <v>0</v>
      </c>
      <c r="M50" s="323">
        <f t="shared" si="2"/>
        <v>3.895460621223698E-4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8.8711325045306398E-3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3.895460621223698E-4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2464.2034734807335</v>
      </c>
      <c r="H54" s="22">
        <f t="shared" si="3"/>
        <v>0</v>
      </c>
      <c r="I54" s="22">
        <f t="shared" si="3"/>
        <v>0</v>
      </c>
      <c r="J54" s="22">
        <f t="shared" si="3"/>
        <v>0</v>
      </c>
      <c r="K54" s="22">
        <f t="shared" si="3"/>
        <v>0</v>
      </c>
      <c r="L54" s="22">
        <f t="shared" si="3"/>
        <v>0</v>
      </c>
      <c r="M54" s="22">
        <f t="shared" si="3"/>
        <v>108.20723947843607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0.21241553661167092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657.94232741935582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3"/>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8462.0706099420677</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900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2571.4285714285716</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9362.0706099420677</v>
      </c>
      <c r="C9" s="579">
        <f t="shared" ref="C9:L9" si="0">SUM(C7:C8)</f>
        <v>0</v>
      </c>
      <c r="D9" s="579">
        <f t="shared" si="0"/>
        <v>0</v>
      </c>
      <c r="E9" s="579">
        <f t="shared" si="0"/>
        <v>0</v>
      </c>
      <c r="F9" s="579">
        <f t="shared" si="0"/>
        <v>0</v>
      </c>
      <c r="G9" s="579">
        <f t="shared" si="0"/>
        <v>0</v>
      </c>
      <c r="H9" s="579">
        <f t="shared" si="0"/>
        <v>0</v>
      </c>
      <c r="I9" s="579">
        <f t="shared" si="0"/>
        <v>0</v>
      </c>
      <c r="J9" s="579">
        <f t="shared" si="0"/>
        <v>2571.4285714285716</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63.75">
      <c r="A63" s="611"/>
      <c r="B63" s="840">
        <v>13011</v>
      </c>
      <c r="C63" s="840">
        <v>2200</v>
      </c>
      <c r="D63" s="659" t="s">
        <v>877</v>
      </c>
      <c r="E63" s="659" t="s">
        <v>878</v>
      </c>
      <c r="F63" s="659" t="s">
        <v>879</v>
      </c>
      <c r="G63" s="659" t="s">
        <v>880</v>
      </c>
      <c r="H63" s="659" t="s">
        <v>881</v>
      </c>
      <c r="I63" s="659" t="s">
        <v>882</v>
      </c>
      <c r="J63" s="839">
        <v>39217</v>
      </c>
      <c r="K63" s="839">
        <v>39227</v>
      </c>
      <c r="L63" s="659" t="s">
        <v>883</v>
      </c>
      <c r="M63" s="659">
        <v>200</v>
      </c>
      <c r="N63" s="659">
        <v>900</v>
      </c>
      <c r="O63" s="659">
        <v>0</v>
      </c>
      <c r="P63" s="659">
        <v>0</v>
      </c>
      <c r="Q63" s="659">
        <v>2571.4285714285716</v>
      </c>
      <c r="R63" s="659">
        <v>0</v>
      </c>
      <c r="S63" s="659">
        <v>0</v>
      </c>
      <c r="T63" s="659">
        <v>0</v>
      </c>
      <c r="U63" s="659">
        <v>0</v>
      </c>
      <c r="V63" s="659">
        <v>0</v>
      </c>
      <c r="W63" s="659"/>
      <c r="X63" s="659">
        <v>1600</v>
      </c>
      <c r="Y63" s="659" t="s">
        <v>50</v>
      </c>
      <c r="Z63" s="660" t="s">
        <v>156</v>
      </c>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200</v>
      </c>
      <c r="N88" s="614">
        <f t="shared" ref="N88:W88" si="5">SUM(N63:N87)</f>
        <v>900</v>
      </c>
      <c r="O88" s="614">
        <f t="shared" si="5"/>
        <v>0</v>
      </c>
      <c r="P88" s="614">
        <f t="shared" si="5"/>
        <v>0</v>
      </c>
      <c r="Q88" s="614">
        <f t="shared" si="5"/>
        <v>2571.4285714285716</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200</v>
      </c>
      <c r="N90" s="614">
        <f t="shared" ref="N90:W90" si="7">SUMIF($Z$63:$Z$88,"tertiair",N63:N88)</f>
        <v>900</v>
      </c>
      <c r="O90" s="614">
        <f t="shared" si="7"/>
        <v>0</v>
      </c>
      <c r="P90" s="614">
        <f t="shared" si="7"/>
        <v>0</v>
      </c>
      <c r="Q90" s="614">
        <f t="shared" si="7"/>
        <v>2571.4285714285716</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70284.328508667313</v>
      </c>
      <c r="D10" s="703">
        <f ca="1">tertiair!C16</f>
        <v>0</v>
      </c>
      <c r="E10" s="703">
        <f ca="1">tertiair!D16</f>
        <v>70364.795460048234</v>
      </c>
      <c r="F10" s="703">
        <f>tertiair!E16</f>
        <v>486.45359663503712</v>
      </c>
      <c r="G10" s="703">
        <f ca="1">tertiair!F16</f>
        <v>13632.591846807141</v>
      </c>
      <c r="H10" s="703">
        <f>tertiair!G16</f>
        <v>0</v>
      </c>
      <c r="I10" s="703">
        <f>tertiair!H16</f>
        <v>0</v>
      </c>
      <c r="J10" s="703">
        <f>tertiair!I16</f>
        <v>0</v>
      </c>
      <c r="K10" s="703">
        <f>tertiair!J16</f>
        <v>0</v>
      </c>
      <c r="L10" s="703">
        <f>tertiair!K16</f>
        <v>0</v>
      </c>
      <c r="M10" s="703">
        <f ca="1">tertiair!L16</f>
        <v>0</v>
      </c>
      <c r="N10" s="703">
        <f>tertiair!M16</f>
        <v>0</v>
      </c>
      <c r="O10" s="703">
        <f ca="1">tertiair!N16</f>
        <v>2639.303389495396</v>
      </c>
      <c r="P10" s="703">
        <f>tertiair!O16</f>
        <v>0</v>
      </c>
      <c r="Q10" s="704">
        <f>tertiair!P16</f>
        <v>152.53333333333333</v>
      </c>
      <c r="R10" s="706">
        <f ca="1">SUM(C10:Q10)</f>
        <v>157560.00613498641</v>
      </c>
      <c r="S10" s="68"/>
    </row>
    <row r="11" spans="1:19" s="458" customFormat="1">
      <c r="A11" s="859" t="s">
        <v>225</v>
      </c>
      <c r="B11" s="864"/>
      <c r="C11" s="703">
        <f>huishoudens!B8</f>
        <v>45444.547914431387</v>
      </c>
      <c r="D11" s="703">
        <f>huishoudens!C8</f>
        <v>0</v>
      </c>
      <c r="E11" s="703">
        <f>huishoudens!D8</f>
        <v>145289.69340671148</v>
      </c>
      <c r="F11" s="703">
        <f>huishoudens!E8</f>
        <v>9638.1517030298401</v>
      </c>
      <c r="G11" s="703">
        <f>huishoudens!F8</f>
        <v>0</v>
      </c>
      <c r="H11" s="703">
        <f>huishoudens!G8</f>
        <v>0</v>
      </c>
      <c r="I11" s="703">
        <f>huishoudens!H8</f>
        <v>0</v>
      </c>
      <c r="J11" s="703">
        <f>huishoudens!I8</f>
        <v>0</v>
      </c>
      <c r="K11" s="703">
        <f>huishoudens!J8</f>
        <v>0</v>
      </c>
      <c r="L11" s="703">
        <f>huishoudens!K8</f>
        <v>0</v>
      </c>
      <c r="M11" s="703">
        <f>huishoudens!L8</f>
        <v>0</v>
      </c>
      <c r="N11" s="703">
        <f>huishoudens!M8</f>
        <v>0</v>
      </c>
      <c r="O11" s="703">
        <f>huishoudens!N8</f>
        <v>33640.516484294683</v>
      </c>
      <c r="P11" s="703">
        <f>huishoudens!O8</f>
        <v>254.82333333333335</v>
      </c>
      <c r="Q11" s="704">
        <f>huishoudens!P8</f>
        <v>457.6</v>
      </c>
      <c r="R11" s="706">
        <f>SUM(C11:Q11)</f>
        <v>234725.33284180076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123980.33302326698</v>
      </c>
      <c r="D13" s="703">
        <f>industrie!C18</f>
        <v>0</v>
      </c>
      <c r="E13" s="703">
        <f>industrie!D18</f>
        <v>73945.153923645252</v>
      </c>
      <c r="F13" s="703">
        <f>industrie!E18</f>
        <v>1116.8717699932658</v>
      </c>
      <c r="G13" s="703">
        <f>industrie!F18</f>
        <v>29407.522003140446</v>
      </c>
      <c r="H13" s="703">
        <f>industrie!G18</f>
        <v>0</v>
      </c>
      <c r="I13" s="703">
        <f>industrie!H18</f>
        <v>0</v>
      </c>
      <c r="J13" s="703">
        <f>industrie!I18</f>
        <v>0</v>
      </c>
      <c r="K13" s="703">
        <f>industrie!J18</f>
        <v>781.46962673994767</v>
      </c>
      <c r="L13" s="703">
        <f>industrie!K18</f>
        <v>0</v>
      </c>
      <c r="M13" s="703">
        <f>industrie!L18</f>
        <v>0</v>
      </c>
      <c r="N13" s="703">
        <f>industrie!M18</f>
        <v>0</v>
      </c>
      <c r="O13" s="703">
        <f>industrie!N18</f>
        <v>4014.16378566195</v>
      </c>
      <c r="P13" s="703">
        <f>industrie!O18</f>
        <v>0</v>
      </c>
      <c r="Q13" s="704">
        <f>industrie!P18</f>
        <v>0</v>
      </c>
      <c r="R13" s="706">
        <f>SUM(C13:Q13)</f>
        <v>233245.51413244786</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239709.20944636568</v>
      </c>
      <c r="D15" s="708">
        <f t="shared" ref="D15:Q15" ca="1" si="0">SUM(D9:D14)</f>
        <v>0</v>
      </c>
      <c r="E15" s="708">
        <f t="shared" ca="1" si="0"/>
        <v>289599.64279040496</v>
      </c>
      <c r="F15" s="708">
        <f t="shared" si="0"/>
        <v>11241.477069658144</v>
      </c>
      <c r="G15" s="708">
        <f t="shared" ca="1" si="0"/>
        <v>43040.113849947586</v>
      </c>
      <c r="H15" s="708">
        <f t="shared" si="0"/>
        <v>0</v>
      </c>
      <c r="I15" s="708">
        <f t="shared" si="0"/>
        <v>0</v>
      </c>
      <c r="J15" s="708">
        <f t="shared" si="0"/>
        <v>0</v>
      </c>
      <c r="K15" s="708">
        <f t="shared" si="0"/>
        <v>781.46962673994767</v>
      </c>
      <c r="L15" s="708">
        <f t="shared" si="0"/>
        <v>0</v>
      </c>
      <c r="M15" s="708">
        <f t="shared" ca="1" si="0"/>
        <v>0</v>
      </c>
      <c r="N15" s="708">
        <f t="shared" si="0"/>
        <v>0</v>
      </c>
      <c r="O15" s="708">
        <f t="shared" ca="1" si="0"/>
        <v>40293.983659452031</v>
      </c>
      <c r="P15" s="708">
        <f t="shared" si="0"/>
        <v>254.82333333333335</v>
      </c>
      <c r="Q15" s="709">
        <f t="shared" si="0"/>
        <v>610.13333333333333</v>
      </c>
      <c r="R15" s="710">
        <f ca="1">SUM(R9:R14)</f>
        <v>625530.85310923506</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2464.2034734807335</v>
      </c>
      <c r="I18" s="703">
        <f>transport!H54</f>
        <v>0</v>
      </c>
      <c r="J18" s="703">
        <f>transport!I54</f>
        <v>0</v>
      </c>
      <c r="K18" s="703">
        <f>transport!J54</f>
        <v>0</v>
      </c>
      <c r="L18" s="703">
        <f>transport!K54</f>
        <v>0</v>
      </c>
      <c r="M18" s="703">
        <f>transport!L54</f>
        <v>0</v>
      </c>
      <c r="N18" s="703">
        <f>transport!M54</f>
        <v>108.20723947843607</v>
      </c>
      <c r="O18" s="703">
        <f>transport!N54</f>
        <v>0</v>
      </c>
      <c r="P18" s="703">
        <f>transport!O54</f>
        <v>0</v>
      </c>
      <c r="Q18" s="704">
        <f>transport!P54</f>
        <v>0</v>
      </c>
      <c r="R18" s="706">
        <f>SUM(C18:Q18)</f>
        <v>2572.4107129591694</v>
      </c>
      <c r="S18" s="68"/>
    </row>
    <row r="19" spans="1:19" s="458" customFormat="1" ht="15" thickBot="1">
      <c r="A19" s="859" t="s">
        <v>307</v>
      </c>
      <c r="B19" s="864"/>
      <c r="C19" s="712">
        <f>transport!B14</f>
        <v>4.858533395941822</v>
      </c>
      <c r="D19" s="712">
        <f>transport!C14</f>
        <v>0</v>
      </c>
      <c r="E19" s="712">
        <f>transport!D14</f>
        <v>13.306995058469216</v>
      </c>
      <c r="F19" s="712">
        <f>transport!E14</f>
        <v>840.63032794518756</v>
      </c>
      <c r="G19" s="712">
        <f>transport!F14</f>
        <v>0</v>
      </c>
      <c r="H19" s="712">
        <f>transport!G14</f>
        <v>175565.46818329243</v>
      </c>
      <c r="I19" s="712">
        <f>transport!H14</f>
        <v>30192.423012526626</v>
      </c>
      <c r="J19" s="712">
        <f>transport!I14</f>
        <v>0</v>
      </c>
      <c r="K19" s="712">
        <f>transport!J14</f>
        <v>0</v>
      </c>
      <c r="L19" s="712">
        <f>transport!K14</f>
        <v>0</v>
      </c>
      <c r="M19" s="712">
        <f>transport!L14</f>
        <v>0</v>
      </c>
      <c r="N19" s="712">
        <f>transport!M14</f>
        <v>9199.0911667423734</v>
      </c>
      <c r="O19" s="712">
        <f>transport!N14</f>
        <v>0</v>
      </c>
      <c r="P19" s="712">
        <f>transport!O14</f>
        <v>0</v>
      </c>
      <c r="Q19" s="713">
        <f>transport!P14</f>
        <v>0</v>
      </c>
      <c r="R19" s="714">
        <f>SUM(C19:Q19)</f>
        <v>215815.77821896103</v>
      </c>
      <c r="S19" s="68"/>
    </row>
    <row r="20" spans="1:19" s="458" customFormat="1" ht="15.75" thickBot="1">
      <c r="A20" s="715" t="s">
        <v>230</v>
      </c>
      <c r="B20" s="867"/>
      <c r="C20" s="862">
        <f>SUM(C17:C19)</f>
        <v>4.858533395941822</v>
      </c>
      <c r="D20" s="716">
        <f t="shared" ref="D20:R20" si="1">SUM(D17:D19)</f>
        <v>0</v>
      </c>
      <c r="E20" s="716">
        <f t="shared" si="1"/>
        <v>13.306995058469216</v>
      </c>
      <c r="F20" s="716">
        <f t="shared" si="1"/>
        <v>840.63032794518756</v>
      </c>
      <c r="G20" s="716">
        <f t="shared" si="1"/>
        <v>0</v>
      </c>
      <c r="H20" s="716">
        <f t="shared" si="1"/>
        <v>178029.67165677316</v>
      </c>
      <c r="I20" s="716">
        <f t="shared" si="1"/>
        <v>30192.423012526626</v>
      </c>
      <c r="J20" s="716">
        <f t="shared" si="1"/>
        <v>0</v>
      </c>
      <c r="K20" s="716">
        <f t="shared" si="1"/>
        <v>0</v>
      </c>
      <c r="L20" s="716">
        <f t="shared" si="1"/>
        <v>0</v>
      </c>
      <c r="M20" s="716">
        <f t="shared" si="1"/>
        <v>0</v>
      </c>
      <c r="N20" s="716">
        <f t="shared" si="1"/>
        <v>9307.2984062208088</v>
      </c>
      <c r="O20" s="716">
        <f t="shared" si="1"/>
        <v>0</v>
      </c>
      <c r="P20" s="716">
        <f t="shared" si="1"/>
        <v>0</v>
      </c>
      <c r="Q20" s="717">
        <f t="shared" si="1"/>
        <v>0</v>
      </c>
      <c r="R20" s="718">
        <f t="shared" si="1"/>
        <v>218388.18893192019</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1304.79495931414</v>
      </c>
      <c r="D22" s="712">
        <f>+landbouw!C8</f>
        <v>0</v>
      </c>
      <c r="E22" s="712">
        <f>+landbouw!D8</f>
        <v>44268.236270814312</v>
      </c>
      <c r="F22" s="712">
        <f>+landbouw!E8</f>
        <v>12.292042758039763</v>
      </c>
      <c r="G22" s="712">
        <f>+landbouw!F8</f>
        <v>4257.9789756595055</v>
      </c>
      <c r="H22" s="712">
        <f>+landbouw!G8</f>
        <v>0</v>
      </c>
      <c r="I22" s="712">
        <f>+landbouw!H8</f>
        <v>0</v>
      </c>
      <c r="J22" s="712">
        <f>+landbouw!I8</f>
        <v>0</v>
      </c>
      <c r="K22" s="712">
        <f>+landbouw!J8</f>
        <v>161.4094829886221</v>
      </c>
      <c r="L22" s="712">
        <f>+landbouw!K8</f>
        <v>0</v>
      </c>
      <c r="M22" s="712">
        <f>+landbouw!L8</f>
        <v>0</v>
      </c>
      <c r="N22" s="712">
        <f>+landbouw!M8</f>
        <v>0</v>
      </c>
      <c r="O22" s="712">
        <f>+landbouw!N8</f>
        <v>0</v>
      </c>
      <c r="P22" s="712">
        <f>+landbouw!O8</f>
        <v>0</v>
      </c>
      <c r="Q22" s="713">
        <f>+landbouw!P8</f>
        <v>0</v>
      </c>
      <c r="R22" s="714">
        <f>SUM(C22:Q22)</f>
        <v>50004.711731534619</v>
      </c>
      <c r="S22" s="68"/>
    </row>
    <row r="23" spans="1:19" s="458" customFormat="1" ht="17.25" thickTop="1" thickBot="1">
      <c r="A23" s="719" t="s">
        <v>116</v>
      </c>
      <c r="B23" s="853"/>
      <c r="C23" s="720">
        <f ca="1">C20+C15+C22</f>
        <v>241018.86293907577</v>
      </c>
      <c r="D23" s="720">
        <f t="shared" ref="D23:Q23" ca="1" si="2">D20+D15+D22</f>
        <v>0</v>
      </c>
      <c r="E23" s="720">
        <f t="shared" ca="1" si="2"/>
        <v>333881.18605627777</v>
      </c>
      <c r="F23" s="720">
        <f t="shared" si="2"/>
        <v>12094.399440361371</v>
      </c>
      <c r="G23" s="720">
        <f t="shared" ca="1" si="2"/>
        <v>47298.092825607091</v>
      </c>
      <c r="H23" s="720">
        <f t="shared" si="2"/>
        <v>178029.67165677316</v>
      </c>
      <c r="I23" s="720">
        <f t="shared" si="2"/>
        <v>30192.423012526626</v>
      </c>
      <c r="J23" s="720">
        <f t="shared" si="2"/>
        <v>0</v>
      </c>
      <c r="K23" s="720">
        <f t="shared" si="2"/>
        <v>942.8791097285698</v>
      </c>
      <c r="L23" s="720">
        <f t="shared" si="2"/>
        <v>0</v>
      </c>
      <c r="M23" s="720">
        <f t="shared" ca="1" si="2"/>
        <v>0</v>
      </c>
      <c r="N23" s="720">
        <f t="shared" si="2"/>
        <v>9307.2984062208088</v>
      </c>
      <c r="O23" s="720">
        <f t="shared" ca="1" si="2"/>
        <v>40293.983659452031</v>
      </c>
      <c r="P23" s="720">
        <f t="shared" si="2"/>
        <v>254.82333333333335</v>
      </c>
      <c r="Q23" s="721">
        <f t="shared" si="2"/>
        <v>610.13333333333333</v>
      </c>
      <c r="R23" s="722">
        <f ca="1">R20+R15+R22</f>
        <v>893923.75377268984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14929.483355559529</v>
      </c>
      <c r="D36" s="703">
        <f ca="1">tertiair!C20</f>
        <v>0</v>
      </c>
      <c r="E36" s="703">
        <f ca="1">tertiair!D20</f>
        <v>14213.688682929744</v>
      </c>
      <c r="F36" s="703">
        <f>tertiair!E20</f>
        <v>110.42496643615343</v>
      </c>
      <c r="G36" s="703">
        <f ca="1">tertiair!F20</f>
        <v>3639.902023097507</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32893.499028022932</v>
      </c>
    </row>
    <row r="37" spans="1:18">
      <c r="A37" s="874" t="s">
        <v>225</v>
      </c>
      <c r="B37" s="881"/>
      <c r="C37" s="703">
        <f ca="1">huishoudens!B12</f>
        <v>9653.1280313187344</v>
      </c>
      <c r="D37" s="703">
        <f ca="1">huishoudens!C12</f>
        <v>0</v>
      </c>
      <c r="E37" s="703">
        <f>huishoudens!D12</f>
        <v>29348.518068155721</v>
      </c>
      <c r="F37" s="703">
        <f>huishoudens!E12</f>
        <v>2187.8604365877736</v>
      </c>
      <c r="G37" s="703">
        <f>huishoudens!F12</f>
        <v>0</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41189.506536062232</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26335.348968430921</v>
      </c>
      <c r="D39" s="703">
        <f ca="1">industrie!C22</f>
        <v>0</v>
      </c>
      <c r="E39" s="703">
        <f>industrie!D22</f>
        <v>14936.921092576342</v>
      </c>
      <c r="F39" s="703">
        <f>industrie!E22</f>
        <v>253.52989178847136</v>
      </c>
      <c r="G39" s="703">
        <f>industrie!F22</f>
        <v>7851.8083748384997</v>
      </c>
      <c r="H39" s="703">
        <f>industrie!G22</f>
        <v>0</v>
      </c>
      <c r="I39" s="703">
        <f>industrie!H22</f>
        <v>0</v>
      </c>
      <c r="J39" s="703">
        <f>industrie!I22</f>
        <v>0</v>
      </c>
      <c r="K39" s="703">
        <f>industrie!J22</f>
        <v>276.64024786594143</v>
      </c>
      <c r="L39" s="703">
        <f>industrie!K22</f>
        <v>0</v>
      </c>
      <c r="M39" s="703">
        <f>industrie!L22</f>
        <v>0</v>
      </c>
      <c r="N39" s="703">
        <f>industrie!M22</f>
        <v>0</v>
      </c>
      <c r="O39" s="703">
        <f>industrie!N22</f>
        <v>0</v>
      </c>
      <c r="P39" s="703">
        <f>industrie!O22</f>
        <v>0</v>
      </c>
      <c r="Q39" s="813">
        <f>industrie!P22</f>
        <v>0</v>
      </c>
      <c r="R39" s="907">
        <f ca="1">SUM(C39:Q39)</f>
        <v>49654.248575500184</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50917.960355309187</v>
      </c>
      <c r="D41" s="748">
        <f t="shared" ref="D41:R41" ca="1" si="4">SUM(D35:D40)</f>
        <v>0</v>
      </c>
      <c r="E41" s="748">
        <f t="shared" ca="1" si="4"/>
        <v>58499.127843661809</v>
      </c>
      <c r="F41" s="748">
        <f t="shared" si="4"/>
        <v>2551.8152948123984</v>
      </c>
      <c r="G41" s="748">
        <f t="shared" ca="1" si="4"/>
        <v>11491.710397936007</v>
      </c>
      <c r="H41" s="748">
        <f t="shared" si="4"/>
        <v>0</v>
      </c>
      <c r="I41" s="748">
        <f t="shared" si="4"/>
        <v>0</v>
      </c>
      <c r="J41" s="748">
        <f t="shared" si="4"/>
        <v>0</v>
      </c>
      <c r="K41" s="748">
        <f t="shared" si="4"/>
        <v>276.64024786594143</v>
      </c>
      <c r="L41" s="748">
        <f t="shared" si="4"/>
        <v>0</v>
      </c>
      <c r="M41" s="748">
        <f t="shared" ca="1" si="4"/>
        <v>0</v>
      </c>
      <c r="N41" s="748">
        <f t="shared" si="4"/>
        <v>0</v>
      </c>
      <c r="O41" s="748">
        <f t="shared" ca="1" si="4"/>
        <v>0</v>
      </c>
      <c r="P41" s="748">
        <f t="shared" si="4"/>
        <v>0</v>
      </c>
      <c r="Q41" s="749">
        <f t="shared" si="4"/>
        <v>0</v>
      </c>
      <c r="R41" s="750">
        <f t="shared" ca="1" si="4"/>
        <v>123737.25413958535</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657.94232741935582</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657.94232741935582</v>
      </c>
    </row>
    <row r="45" spans="1:18" ht="15" thickBot="1">
      <c r="A45" s="877" t="s">
        <v>307</v>
      </c>
      <c r="B45" s="887"/>
      <c r="C45" s="712">
        <f ca="1">transport!B18</f>
        <v>1.032027978444706</v>
      </c>
      <c r="D45" s="712">
        <f>transport!C18</f>
        <v>0</v>
      </c>
      <c r="E45" s="712">
        <f>transport!D18</f>
        <v>2.688013001810782</v>
      </c>
      <c r="F45" s="712">
        <f>transport!E18</f>
        <v>190.82308444355758</v>
      </c>
      <c r="G45" s="712">
        <f>transport!F18</f>
        <v>0</v>
      </c>
      <c r="H45" s="712">
        <f>transport!G18</f>
        <v>46875.980004939083</v>
      </c>
      <c r="I45" s="712">
        <f>transport!H18</f>
        <v>7517.9133301191296</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54588.436460482029</v>
      </c>
    </row>
    <row r="46" spans="1:18" ht="15.75" thickBot="1">
      <c r="A46" s="875" t="s">
        <v>230</v>
      </c>
      <c r="B46" s="888"/>
      <c r="C46" s="748">
        <f t="shared" ref="C46:R46" ca="1" si="5">SUM(C43:C45)</f>
        <v>1.032027978444706</v>
      </c>
      <c r="D46" s="748">
        <f t="shared" ca="1" si="5"/>
        <v>0</v>
      </c>
      <c r="E46" s="748">
        <f t="shared" si="5"/>
        <v>2.688013001810782</v>
      </c>
      <c r="F46" s="748">
        <f t="shared" si="5"/>
        <v>190.82308444355758</v>
      </c>
      <c r="G46" s="748">
        <f t="shared" si="5"/>
        <v>0</v>
      </c>
      <c r="H46" s="748">
        <f t="shared" si="5"/>
        <v>47533.922332358437</v>
      </c>
      <c r="I46" s="748">
        <f t="shared" si="5"/>
        <v>7517.9133301191296</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55246.378787901383</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277.1587214509164</v>
      </c>
      <c r="D48" s="703">
        <f ca="1">+landbouw!C12</f>
        <v>0</v>
      </c>
      <c r="E48" s="703">
        <f>+landbouw!D12</f>
        <v>8942.1837267044921</v>
      </c>
      <c r="F48" s="703">
        <f>+landbouw!E12</f>
        <v>2.7902937060750261</v>
      </c>
      <c r="G48" s="703">
        <f>+landbouw!F12</f>
        <v>1136.880386501088</v>
      </c>
      <c r="H48" s="703">
        <f>+landbouw!G12</f>
        <v>0</v>
      </c>
      <c r="I48" s="703">
        <f>+landbouw!H12</f>
        <v>0</v>
      </c>
      <c r="J48" s="703">
        <f>+landbouw!I12</f>
        <v>0</v>
      </c>
      <c r="K48" s="703">
        <f>+landbouw!J12</f>
        <v>57.138956977972221</v>
      </c>
      <c r="L48" s="703">
        <f>+landbouw!K12</f>
        <v>0</v>
      </c>
      <c r="M48" s="703">
        <f>+landbouw!L12</f>
        <v>0</v>
      </c>
      <c r="N48" s="703">
        <f>+landbouw!M12</f>
        <v>0</v>
      </c>
      <c r="O48" s="703">
        <f>+landbouw!N12</f>
        <v>0</v>
      </c>
      <c r="P48" s="703">
        <f>+landbouw!O12</f>
        <v>0</v>
      </c>
      <c r="Q48" s="704">
        <f>+landbouw!P12</f>
        <v>0</v>
      </c>
      <c r="R48" s="746">
        <f ca="1">SUM(C48:Q48)</f>
        <v>10416.152085340545</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51196.15110473855</v>
      </c>
      <c r="D53" s="758">
        <f t="shared" ref="D53:Q53" ca="1" si="6">D41+D46+D48</f>
        <v>0</v>
      </c>
      <c r="E53" s="758">
        <f t="shared" ca="1" si="6"/>
        <v>67443.999583368117</v>
      </c>
      <c r="F53" s="758">
        <f t="shared" si="6"/>
        <v>2745.4286729620308</v>
      </c>
      <c r="G53" s="758">
        <f t="shared" ca="1" si="6"/>
        <v>12628.590784437096</v>
      </c>
      <c r="H53" s="758">
        <f t="shared" si="6"/>
        <v>47533.922332358437</v>
      </c>
      <c r="I53" s="758">
        <f t="shared" si="6"/>
        <v>7517.9133301191296</v>
      </c>
      <c r="J53" s="758">
        <f t="shared" si="6"/>
        <v>0</v>
      </c>
      <c r="K53" s="758">
        <f t="shared" si="6"/>
        <v>333.77920484391365</v>
      </c>
      <c r="L53" s="758">
        <f t="shared" si="6"/>
        <v>0</v>
      </c>
      <c r="M53" s="758">
        <f t="shared" ca="1" si="6"/>
        <v>0</v>
      </c>
      <c r="N53" s="758">
        <f t="shared" si="6"/>
        <v>0</v>
      </c>
      <c r="O53" s="758">
        <f t="shared" ca="1" si="6"/>
        <v>0</v>
      </c>
      <c r="P53" s="758">
        <f>P41+P46+P48</f>
        <v>0</v>
      </c>
      <c r="Q53" s="759">
        <f t="shared" si="6"/>
        <v>0</v>
      </c>
      <c r="R53" s="760">
        <f ca="1">R41+R46+R48</f>
        <v>189399.78501282728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0.21241553661167095</v>
      </c>
      <c r="D55" s="824">
        <f t="shared" ca="1" si="7"/>
        <v>0</v>
      </c>
      <c r="E55" s="824">
        <f t="shared" ca="1" si="7"/>
        <v>0.20200000000000001</v>
      </c>
      <c r="F55" s="824">
        <f t="shared" si="7"/>
        <v>0.22699999999999998</v>
      </c>
      <c r="G55" s="824">
        <f t="shared" ca="1" si="7"/>
        <v>0.26700000000000007</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8462.0706099420677</v>
      </c>
      <c r="C66" s="780">
        <f>'lokale energieproductie'!B6</f>
        <v>8462.0706099420677</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900</v>
      </c>
      <c r="C68" s="779">
        <f>B68*IFERROR(SUM(J68:L68)/SUM(D68:M68),0)</f>
        <v>900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2571.4285714285716</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9362.0706099420677</v>
      </c>
      <c r="C69" s="788">
        <f>SUM(C64:C68)</f>
        <v>9362.0706099420677</v>
      </c>
      <c r="D69" s="789">
        <f t="shared" ref="D69:M69" si="8">SUM(D67:D68)</f>
        <v>0</v>
      </c>
      <c r="E69" s="789">
        <f t="shared" si="8"/>
        <v>0</v>
      </c>
      <c r="F69" s="789">
        <f t="shared" si="8"/>
        <v>0</v>
      </c>
      <c r="G69" s="789">
        <f t="shared" si="8"/>
        <v>0</v>
      </c>
      <c r="H69" s="789">
        <f t="shared" si="8"/>
        <v>0</v>
      </c>
      <c r="I69" s="789">
        <f t="shared" si="8"/>
        <v>0</v>
      </c>
      <c r="J69" s="789">
        <f t="shared" si="8"/>
        <v>0</v>
      </c>
      <c r="K69" s="789">
        <f t="shared" si="8"/>
        <v>2571.4285714285716</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45444.547914431387</v>
      </c>
      <c r="C4" s="462">
        <f>huishoudens!C8</f>
        <v>0</v>
      </c>
      <c r="D4" s="462">
        <f>huishoudens!D8</f>
        <v>145289.69340671148</v>
      </c>
      <c r="E4" s="462">
        <f>huishoudens!E8</f>
        <v>9638.1517030298401</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33640.516484294683</v>
      </c>
      <c r="O4" s="462">
        <f>huishoudens!O8</f>
        <v>254.82333333333335</v>
      </c>
      <c r="P4" s="463">
        <f>huishoudens!P8</f>
        <v>457.6</v>
      </c>
      <c r="Q4" s="464">
        <f>SUM(B4:P4)</f>
        <v>234725.33284180076</v>
      </c>
    </row>
    <row r="5" spans="1:17">
      <c r="A5" s="461" t="s">
        <v>156</v>
      </c>
      <c r="B5" s="462">
        <f ca="1">tertiair!B16</f>
        <v>68924.400508667313</v>
      </c>
      <c r="C5" s="462">
        <f ca="1">tertiair!C16</f>
        <v>0</v>
      </c>
      <c r="D5" s="462">
        <f ca="1">tertiair!D16</f>
        <v>70364.795460048234</v>
      </c>
      <c r="E5" s="462">
        <f>tertiair!E16</f>
        <v>486.45359663503712</v>
      </c>
      <c r="F5" s="462">
        <f ca="1">tertiair!F16</f>
        <v>13632.591846807141</v>
      </c>
      <c r="G5" s="462">
        <f>tertiair!G16</f>
        <v>0</v>
      </c>
      <c r="H5" s="462">
        <f>tertiair!H16</f>
        <v>0</v>
      </c>
      <c r="I5" s="462">
        <f>tertiair!I16</f>
        <v>0</v>
      </c>
      <c r="J5" s="462">
        <f>tertiair!J16</f>
        <v>0</v>
      </c>
      <c r="K5" s="462">
        <f>tertiair!K16</f>
        <v>0</v>
      </c>
      <c r="L5" s="462">
        <f ca="1">tertiair!L16</f>
        <v>0</v>
      </c>
      <c r="M5" s="462">
        <f>tertiair!M16</f>
        <v>0</v>
      </c>
      <c r="N5" s="462">
        <f ca="1">tertiair!N16</f>
        <v>2639.303389495396</v>
      </c>
      <c r="O5" s="462">
        <f>tertiair!O16</f>
        <v>0</v>
      </c>
      <c r="P5" s="463">
        <f>tertiair!P16</f>
        <v>152.53333333333333</v>
      </c>
      <c r="Q5" s="461">
        <f t="shared" ref="Q5:Q13" ca="1" si="0">SUM(B5:P5)</f>
        <v>156200.0781349864</v>
      </c>
    </row>
    <row r="6" spans="1:17">
      <c r="A6" s="461" t="s">
        <v>194</v>
      </c>
      <c r="B6" s="462">
        <f>'openbare verlichting'!B8</f>
        <v>1359.9280000000001</v>
      </c>
      <c r="C6" s="462"/>
      <c r="D6" s="462"/>
      <c r="E6" s="462"/>
      <c r="F6" s="462"/>
      <c r="G6" s="462"/>
      <c r="H6" s="462"/>
      <c r="I6" s="462"/>
      <c r="J6" s="462"/>
      <c r="K6" s="462"/>
      <c r="L6" s="462"/>
      <c r="M6" s="462"/>
      <c r="N6" s="462"/>
      <c r="O6" s="462"/>
      <c r="P6" s="463"/>
      <c r="Q6" s="461">
        <f t="shared" si="0"/>
        <v>1359.9280000000001</v>
      </c>
    </row>
    <row r="7" spans="1:17">
      <c r="A7" s="461" t="s">
        <v>112</v>
      </c>
      <c r="B7" s="462">
        <f>landbouw!B8</f>
        <v>1304.79495931414</v>
      </c>
      <c r="C7" s="462">
        <f>landbouw!C8</f>
        <v>0</v>
      </c>
      <c r="D7" s="462">
        <f>landbouw!D8</f>
        <v>44268.236270814312</v>
      </c>
      <c r="E7" s="462">
        <f>landbouw!E8</f>
        <v>12.292042758039763</v>
      </c>
      <c r="F7" s="462">
        <f>landbouw!F8</f>
        <v>4257.9789756595055</v>
      </c>
      <c r="G7" s="462">
        <f>landbouw!G8</f>
        <v>0</v>
      </c>
      <c r="H7" s="462">
        <f>landbouw!H8</f>
        <v>0</v>
      </c>
      <c r="I7" s="462">
        <f>landbouw!I8</f>
        <v>0</v>
      </c>
      <c r="J7" s="462">
        <f>landbouw!J8</f>
        <v>161.4094829886221</v>
      </c>
      <c r="K7" s="462">
        <f>landbouw!K8</f>
        <v>0</v>
      </c>
      <c r="L7" s="462">
        <f>landbouw!L8</f>
        <v>0</v>
      </c>
      <c r="M7" s="462">
        <f>landbouw!M8</f>
        <v>0</v>
      </c>
      <c r="N7" s="462">
        <f>landbouw!N8</f>
        <v>0</v>
      </c>
      <c r="O7" s="462">
        <f>landbouw!O8</f>
        <v>0</v>
      </c>
      <c r="P7" s="463">
        <f>landbouw!P8</f>
        <v>0</v>
      </c>
      <c r="Q7" s="461">
        <f t="shared" si="0"/>
        <v>50004.711731534619</v>
      </c>
    </row>
    <row r="8" spans="1:17">
      <c r="A8" s="461" t="s">
        <v>685</v>
      </c>
      <c r="B8" s="462">
        <f>industrie!B18</f>
        <v>123980.33302326698</v>
      </c>
      <c r="C8" s="462">
        <f>industrie!C18</f>
        <v>0</v>
      </c>
      <c r="D8" s="462">
        <f>industrie!D18</f>
        <v>73945.153923645252</v>
      </c>
      <c r="E8" s="462">
        <f>industrie!E18</f>
        <v>1116.8717699932658</v>
      </c>
      <c r="F8" s="462">
        <f>industrie!F18</f>
        <v>29407.522003140446</v>
      </c>
      <c r="G8" s="462">
        <f>industrie!G18</f>
        <v>0</v>
      </c>
      <c r="H8" s="462">
        <f>industrie!H18</f>
        <v>0</v>
      </c>
      <c r="I8" s="462">
        <f>industrie!I18</f>
        <v>0</v>
      </c>
      <c r="J8" s="462">
        <f>industrie!J18</f>
        <v>781.46962673994767</v>
      </c>
      <c r="K8" s="462">
        <f>industrie!K18</f>
        <v>0</v>
      </c>
      <c r="L8" s="462">
        <f>industrie!L18</f>
        <v>0</v>
      </c>
      <c r="M8" s="462">
        <f>industrie!M18</f>
        <v>0</v>
      </c>
      <c r="N8" s="462">
        <f>industrie!N18</f>
        <v>4014.16378566195</v>
      </c>
      <c r="O8" s="462">
        <f>industrie!O18</f>
        <v>0</v>
      </c>
      <c r="P8" s="463">
        <f>industrie!P18</f>
        <v>0</v>
      </c>
      <c r="Q8" s="461">
        <f t="shared" si="0"/>
        <v>233245.51413244786</v>
      </c>
    </row>
    <row r="9" spans="1:17" s="467" customFormat="1">
      <c r="A9" s="465" t="s">
        <v>579</v>
      </c>
      <c r="B9" s="466">
        <f>transport!B14</f>
        <v>4.858533395941822</v>
      </c>
      <c r="C9" s="466">
        <f>transport!C14</f>
        <v>0</v>
      </c>
      <c r="D9" s="466">
        <f>transport!D14</f>
        <v>13.306995058469216</v>
      </c>
      <c r="E9" s="466">
        <f>transport!E14</f>
        <v>840.63032794518756</v>
      </c>
      <c r="F9" s="466">
        <f>transport!F14</f>
        <v>0</v>
      </c>
      <c r="G9" s="466">
        <f>transport!G14</f>
        <v>175565.46818329243</v>
      </c>
      <c r="H9" s="466">
        <f>transport!H14</f>
        <v>30192.423012526626</v>
      </c>
      <c r="I9" s="466">
        <f>transport!I14</f>
        <v>0</v>
      </c>
      <c r="J9" s="466">
        <f>transport!J14</f>
        <v>0</v>
      </c>
      <c r="K9" s="466">
        <f>transport!K14</f>
        <v>0</v>
      </c>
      <c r="L9" s="466">
        <f>transport!L14</f>
        <v>0</v>
      </c>
      <c r="M9" s="466">
        <f>transport!M14</f>
        <v>9199.0911667423734</v>
      </c>
      <c r="N9" s="466">
        <f>transport!N14</f>
        <v>0</v>
      </c>
      <c r="O9" s="466">
        <f>transport!O14</f>
        <v>0</v>
      </c>
      <c r="P9" s="466">
        <f>transport!P14</f>
        <v>0</v>
      </c>
      <c r="Q9" s="465">
        <f>SUM(B9:P9)</f>
        <v>215815.77821896103</v>
      </c>
    </row>
    <row r="10" spans="1:17">
      <c r="A10" s="461" t="s">
        <v>569</v>
      </c>
      <c r="B10" s="462">
        <f>transport!B54</f>
        <v>0</v>
      </c>
      <c r="C10" s="462">
        <f>transport!C54</f>
        <v>0</v>
      </c>
      <c r="D10" s="462">
        <f>transport!D54</f>
        <v>0</v>
      </c>
      <c r="E10" s="462">
        <f>transport!E54</f>
        <v>0</v>
      </c>
      <c r="F10" s="462">
        <f>transport!F54</f>
        <v>0</v>
      </c>
      <c r="G10" s="462">
        <f>transport!G54</f>
        <v>2464.2034734807335</v>
      </c>
      <c r="H10" s="462">
        <f>transport!H54</f>
        <v>0</v>
      </c>
      <c r="I10" s="462">
        <f>transport!I54</f>
        <v>0</v>
      </c>
      <c r="J10" s="462">
        <f>transport!J54</f>
        <v>0</v>
      </c>
      <c r="K10" s="462">
        <f>transport!K54</f>
        <v>0</v>
      </c>
      <c r="L10" s="462">
        <f>transport!L54</f>
        <v>0</v>
      </c>
      <c r="M10" s="462">
        <f>transport!M54</f>
        <v>108.20723947843607</v>
      </c>
      <c r="N10" s="462">
        <f>transport!N54</f>
        <v>0</v>
      </c>
      <c r="O10" s="462">
        <f>transport!O54</f>
        <v>0</v>
      </c>
      <c r="P10" s="463">
        <f>transport!P54</f>
        <v>0</v>
      </c>
      <c r="Q10" s="461">
        <f t="shared" si="0"/>
        <v>2572.4107129591694</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241018.86293907577</v>
      </c>
      <c r="C14" s="472">
        <f t="shared" ref="C14:Q14" ca="1" si="1">SUM(C4:C13)</f>
        <v>0</v>
      </c>
      <c r="D14" s="472">
        <f t="shared" ca="1" si="1"/>
        <v>333881.18605627777</v>
      </c>
      <c r="E14" s="472">
        <f t="shared" si="1"/>
        <v>12094.399440361371</v>
      </c>
      <c r="F14" s="472">
        <f t="shared" ca="1" si="1"/>
        <v>47298.092825607091</v>
      </c>
      <c r="G14" s="472">
        <f t="shared" si="1"/>
        <v>178029.67165677316</v>
      </c>
      <c r="H14" s="472">
        <f t="shared" si="1"/>
        <v>30192.423012526626</v>
      </c>
      <c r="I14" s="472">
        <f t="shared" si="1"/>
        <v>0</v>
      </c>
      <c r="J14" s="472">
        <f t="shared" si="1"/>
        <v>942.8791097285698</v>
      </c>
      <c r="K14" s="472">
        <f t="shared" si="1"/>
        <v>0</v>
      </c>
      <c r="L14" s="472">
        <f t="shared" ca="1" si="1"/>
        <v>0</v>
      </c>
      <c r="M14" s="472">
        <f t="shared" si="1"/>
        <v>9307.2984062208088</v>
      </c>
      <c r="N14" s="472">
        <f t="shared" ca="1" si="1"/>
        <v>40293.983659452031</v>
      </c>
      <c r="O14" s="472">
        <f t="shared" si="1"/>
        <v>254.82333333333335</v>
      </c>
      <c r="P14" s="473">
        <f t="shared" si="1"/>
        <v>610.13333333333333</v>
      </c>
      <c r="Q14" s="473">
        <f t="shared" ca="1" si="1"/>
        <v>893923.75377268984</v>
      </c>
    </row>
    <row r="16" spans="1:17">
      <c r="A16" s="475" t="s">
        <v>574</v>
      </c>
      <c r="B16" s="829">
        <f ca="1">huishoudens!B10</f>
        <v>0.21241553661167092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9653.1280313187344</v>
      </c>
      <c r="C21" s="462">
        <f t="shared" ref="C21:C30" ca="1" si="3">C4*$C$16</f>
        <v>0</v>
      </c>
      <c r="D21" s="462">
        <f t="shared" ref="D21:D30" si="4">D4*$D$16</f>
        <v>29348.518068155721</v>
      </c>
      <c r="E21" s="462">
        <f t="shared" ref="E21:E30" si="5">E4*$E$16</f>
        <v>2187.8604365877736</v>
      </c>
      <c r="F21" s="462">
        <f t="shared" ref="F21:F30" si="6">F4*$F$16</f>
        <v>0</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41189.506536062232</v>
      </c>
    </row>
    <row r="22" spans="1:17">
      <c r="A22" s="461" t="s">
        <v>156</v>
      </c>
      <c r="B22" s="462">
        <f t="shared" ca="1" si="2"/>
        <v>14640.613519686292</v>
      </c>
      <c r="C22" s="462">
        <f t="shared" ca="1" si="3"/>
        <v>0</v>
      </c>
      <c r="D22" s="462">
        <f t="shared" ca="1" si="4"/>
        <v>14213.688682929744</v>
      </c>
      <c r="E22" s="462">
        <f t="shared" si="5"/>
        <v>110.42496643615343</v>
      </c>
      <c r="F22" s="462">
        <f t="shared" ca="1" si="6"/>
        <v>3639.902023097507</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32604.629192149696</v>
      </c>
    </row>
    <row r="23" spans="1:17">
      <c r="A23" s="461" t="s">
        <v>194</v>
      </c>
      <c r="B23" s="462">
        <f t="shared" ca="1" si="2"/>
        <v>288.86983587323647</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288.86983587323647</v>
      </c>
    </row>
    <row r="24" spans="1:17">
      <c r="A24" s="461" t="s">
        <v>112</v>
      </c>
      <c r="B24" s="462">
        <f t="shared" ca="1" si="2"/>
        <v>277.1587214509164</v>
      </c>
      <c r="C24" s="462">
        <f t="shared" ca="1" si="3"/>
        <v>0</v>
      </c>
      <c r="D24" s="462">
        <f t="shared" si="4"/>
        <v>8942.1837267044921</v>
      </c>
      <c r="E24" s="462">
        <f t="shared" si="5"/>
        <v>2.7902937060750261</v>
      </c>
      <c r="F24" s="462">
        <f t="shared" si="6"/>
        <v>1136.880386501088</v>
      </c>
      <c r="G24" s="462">
        <f t="shared" si="7"/>
        <v>0</v>
      </c>
      <c r="H24" s="462">
        <f t="shared" si="8"/>
        <v>0</v>
      </c>
      <c r="I24" s="462">
        <f t="shared" si="9"/>
        <v>0</v>
      </c>
      <c r="J24" s="462">
        <f t="shared" si="10"/>
        <v>57.138956977972221</v>
      </c>
      <c r="K24" s="462">
        <f t="shared" si="11"/>
        <v>0</v>
      </c>
      <c r="L24" s="462">
        <f t="shared" si="12"/>
        <v>0</v>
      </c>
      <c r="M24" s="462">
        <f t="shared" si="13"/>
        <v>0</v>
      </c>
      <c r="N24" s="462">
        <f t="shared" si="14"/>
        <v>0</v>
      </c>
      <c r="O24" s="462">
        <f t="shared" si="15"/>
        <v>0</v>
      </c>
      <c r="P24" s="463">
        <f t="shared" si="16"/>
        <v>0</v>
      </c>
      <c r="Q24" s="461">
        <f t="shared" ca="1" si="17"/>
        <v>10416.152085340545</v>
      </c>
    </row>
    <row r="25" spans="1:17">
      <c r="A25" s="461" t="s">
        <v>685</v>
      </c>
      <c r="B25" s="462">
        <f t="shared" ca="1" si="2"/>
        <v>26335.348968430921</v>
      </c>
      <c r="C25" s="462">
        <f t="shared" ca="1" si="3"/>
        <v>0</v>
      </c>
      <c r="D25" s="462">
        <f t="shared" si="4"/>
        <v>14936.921092576342</v>
      </c>
      <c r="E25" s="462">
        <f t="shared" si="5"/>
        <v>253.52989178847136</v>
      </c>
      <c r="F25" s="462">
        <f t="shared" si="6"/>
        <v>7851.8083748384997</v>
      </c>
      <c r="G25" s="462">
        <f t="shared" si="7"/>
        <v>0</v>
      </c>
      <c r="H25" s="462">
        <f t="shared" si="8"/>
        <v>0</v>
      </c>
      <c r="I25" s="462">
        <f t="shared" si="9"/>
        <v>0</v>
      </c>
      <c r="J25" s="462">
        <f t="shared" si="10"/>
        <v>276.64024786594143</v>
      </c>
      <c r="K25" s="462">
        <f t="shared" si="11"/>
        <v>0</v>
      </c>
      <c r="L25" s="462">
        <f t="shared" si="12"/>
        <v>0</v>
      </c>
      <c r="M25" s="462">
        <f t="shared" si="13"/>
        <v>0</v>
      </c>
      <c r="N25" s="462">
        <f t="shared" si="14"/>
        <v>0</v>
      </c>
      <c r="O25" s="462">
        <f t="shared" si="15"/>
        <v>0</v>
      </c>
      <c r="P25" s="463">
        <f t="shared" si="16"/>
        <v>0</v>
      </c>
      <c r="Q25" s="461">
        <f t="shared" ca="1" si="17"/>
        <v>49654.248575500184</v>
      </c>
    </row>
    <row r="26" spans="1:17" s="467" customFormat="1">
      <c r="A26" s="465" t="s">
        <v>579</v>
      </c>
      <c r="B26" s="823">
        <f t="shared" ca="1" si="2"/>
        <v>1.032027978444706</v>
      </c>
      <c r="C26" s="466">
        <f t="shared" ca="1" si="3"/>
        <v>0</v>
      </c>
      <c r="D26" s="466">
        <f t="shared" si="4"/>
        <v>2.688013001810782</v>
      </c>
      <c r="E26" s="466">
        <f t="shared" si="5"/>
        <v>190.82308444355758</v>
      </c>
      <c r="F26" s="466">
        <f t="shared" si="6"/>
        <v>0</v>
      </c>
      <c r="G26" s="466">
        <f t="shared" si="7"/>
        <v>46875.980004939083</v>
      </c>
      <c r="H26" s="466">
        <f t="shared" si="8"/>
        <v>7517.9133301191296</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54588.436460482029</v>
      </c>
    </row>
    <row r="27" spans="1:17">
      <c r="A27" s="461" t="s">
        <v>569</v>
      </c>
      <c r="B27" s="462">
        <f t="shared" ca="1" si="2"/>
        <v>0</v>
      </c>
      <c r="C27" s="462">
        <f t="shared" ca="1" si="3"/>
        <v>0</v>
      </c>
      <c r="D27" s="462">
        <f t="shared" si="4"/>
        <v>0</v>
      </c>
      <c r="E27" s="462">
        <f t="shared" si="5"/>
        <v>0</v>
      </c>
      <c r="F27" s="462">
        <f t="shared" si="6"/>
        <v>0</v>
      </c>
      <c r="G27" s="462">
        <f t="shared" si="7"/>
        <v>657.94232741935582</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657.94232741935582</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51196.151104738543</v>
      </c>
      <c r="C31" s="472">
        <f t="shared" ca="1" si="18"/>
        <v>0</v>
      </c>
      <c r="D31" s="472">
        <f t="shared" ca="1" si="18"/>
        <v>67443.999583368117</v>
      </c>
      <c r="E31" s="472">
        <f t="shared" si="18"/>
        <v>2745.4286729620308</v>
      </c>
      <c r="F31" s="472">
        <f t="shared" ca="1" si="18"/>
        <v>12628.590784437096</v>
      </c>
      <c r="G31" s="472">
        <f t="shared" si="18"/>
        <v>47533.922332358437</v>
      </c>
      <c r="H31" s="472">
        <f t="shared" si="18"/>
        <v>7517.9133301191296</v>
      </c>
      <c r="I31" s="472">
        <f t="shared" si="18"/>
        <v>0</v>
      </c>
      <c r="J31" s="472">
        <f t="shared" si="18"/>
        <v>333.77920484391365</v>
      </c>
      <c r="K31" s="472">
        <f t="shared" si="18"/>
        <v>0</v>
      </c>
      <c r="L31" s="472">
        <f t="shared" ca="1" si="18"/>
        <v>0</v>
      </c>
      <c r="M31" s="472">
        <f t="shared" si="18"/>
        <v>0</v>
      </c>
      <c r="N31" s="472">
        <f t="shared" ca="1" si="18"/>
        <v>0</v>
      </c>
      <c r="O31" s="472">
        <f t="shared" si="18"/>
        <v>0</v>
      </c>
      <c r="P31" s="473">
        <f t="shared" si="18"/>
        <v>0</v>
      </c>
      <c r="Q31" s="473">
        <f t="shared" ca="1" si="18"/>
        <v>189399.78501282725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0.21241553661167092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2</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3.1266666666666669</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2</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38.133333333333333</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0.21241553661167092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0.21241553661167092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2018-06-27T09:17:15Z</dcterms:modified>
</cp:coreProperties>
</file>