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I8" s="1"/>
  <c r="J68" i="14" s="1"/>
  <c r="T88" i="18"/>
  <c r="S88"/>
  <c r="R8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N16" i="16" s="1"/>
  <c r="P58" i="18"/>
  <c r="D16" i="16" s="1"/>
  <c r="O58" i="18"/>
  <c r="C16" i="16" s="1"/>
  <c r="N58" i="1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G19" s="1"/>
  <c r="F17"/>
  <c r="G79" i="14" s="1"/>
  <c r="E17" i="18"/>
  <c r="D17"/>
  <c r="C17"/>
  <c r="B17"/>
  <c r="K11"/>
  <c r="J11"/>
  <c r="I11"/>
  <c r="H11"/>
  <c r="G11"/>
  <c r="F11"/>
  <c r="E11"/>
  <c r="D11"/>
  <c r="C11"/>
  <c r="L8"/>
  <c r="L9" s="1"/>
  <c r="K8"/>
  <c r="K9" s="1"/>
  <c r="G8"/>
  <c r="G9" s="1"/>
  <c r="F8"/>
  <c r="F9" s="1"/>
  <c r="E8"/>
  <c r="F68" i="14" s="1"/>
  <c r="D8" i="18"/>
  <c r="D9" s="1"/>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E8"/>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38" s="1"/>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K79"/>
  <c r="E79"/>
  <c r="B79"/>
  <c r="M78"/>
  <c r="L78"/>
  <c r="H78"/>
  <c r="G78"/>
  <c r="E7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F16" i="16" l="1"/>
  <c r="C18"/>
  <c r="C8" i="48" s="1"/>
  <c r="K19" i="18"/>
  <c r="L68" i="14"/>
  <c r="L69" s="1"/>
  <c r="B16" i="18"/>
  <c r="B78" i="14" s="1"/>
  <c r="C13" i="15"/>
  <c r="C16" s="1"/>
  <c r="D10" i="14" s="1"/>
  <c r="D12" i="22"/>
  <c r="E17" i="14"/>
  <c r="D13" i="48"/>
  <c r="D30" s="1"/>
  <c r="D31" i="20"/>
  <c r="E43" i="14" s="1"/>
  <c r="E12" i="22"/>
  <c r="F17" i="14"/>
  <c r="E13" i="48"/>
  <c r="I101" i="18"/>
  <c r="H16" s="1"/>
  <c r="I78" i="14" s="1"/>
  <c r="I81" s="1"/>
  <c r="E101" i="18"/>
  <c r="E16" s="1"/>
  <c r="F78" i="14" s="1"/>
  <c r="H101" i="18"/>
  <c r="D101"/>
  <c r="G101"/>
  <c r="I16" s="1"/>
  <c r="J78" i="14" s="1"/>
  <c r="C101" i="18"/>
  <c r="F101"/>
  <c r="B101"/>
  <c r="C16" s="1"/>
  <c r="D78" i="14" s="1"/>
  <c r="I11" i="48"/>
  <c r="N19" i="19"/>
  <c r="O35" i="14" s="1"/>
  <c r="B8" i="9"/>
  <c r="B6" i="48" s="1"/>
  <c r="Q6" s="1"/>
  <c r="P22" i="16"/>
  <c r="Q39" i="14" s="1"/>
  <c r="P18" i="16"/>
  <c r="G22" i="14"/>
  <c r="F8" i="17"/>
  <c r="K22" i="14"/>
  <c r="J8" i="17"/>
  <c r="O80" i="14"/>
  <c r="C97" i="18"/>
  <c r="I19" i="19"/>
  <c r="J35" i="14" s="1"/>
  <c r="B12" i="22"/>
  <c r="B13" i="48"/>
  <c r="C17" i="14"/>
  <c r="E31" i="20"/>
  <c r="F43" i="14" s="1"/>
  <c r="L16" i="16"/>
  <c r="L18" s="1"/>
  <c r="N6" i="17"/>
  <c r="N5" s="1"/>
  <c r="J9" i="14"/>
  <c r="J15" s="1"/>
  <c r="B81"/>
  <c r="D11" i="48"/>
  <c r="D14" i="15"/>
  <c r="F19" i="19"/>
  <c r="G35" i="14" s="1"/>
  <c r="L19" i="19"/>
  <c r="M35" i="14" s="1"/>
  <c r="E7" i="15"/>
  <c r="O5" i="16"/>
  <c r="O9" i="14"/>
  <c r="L11" i="48"/>
  <c r="L12" i="13"/>
  <c r="M37" i="14" s="1"/>
  <c r="J7" i="15"/>
  <c r="B13" i="16"/>
  <c r="C35"/>
  <c r="E19" i="18"/>
  <c r="I19"/>
  <c r="C80" i="14"/>
  <c r="L6" i="17"/>
  <c r="N13" i="15"/>
  <c r="L13"/>
  <c r="L16" s="1"/>
  <c r="K5" i="48"/>
  <c r="K20" i="15"/>
  <c r="L36" i="14" s="1"/>
  <c r="F13" i="15"/>
  <c r="D13"/>
  <c r="G9" i="22"/>
  <c r="G7"/>
  <c r="G6"/>
  <c r="G8"/>
  <c r="G10"/>
  <c r="G11"/>
  <c r="M11"/>
  <c r="H8"/>
  <c r="M10"/>
  <c r="H10"/>
  <c r="H9"/>
  <c r="H11"/>
  <c r="H6"/>
  <c r="M6"/>
  <c r="H7"/>
  <c r="M8"/>
  <c r="M7"/>
  <c r="M9"/>
  <c r="B67"/>
  <c r="J18" i="14"/>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H69"/>
  <c r="J20"/>
  <c r="O20"/>
  <c r="D5" i="15"/>
  <c r="B8"/>
  <c r="J8"/>
  <c r="F12"/>
  <c r="I20"/>
  <c r="J36" i="14" s="1"/>
  <c r="J41" s="1"/>
  <c r="B9" i="16"/>
  <c r="N9"/>
  <c r="D7" i="48"/>
  <c r="D24" s="1"/>
  <c r="E8" i="15"/>
  <c r="B10"/>
  <c r="E9" i="16"/>
  <c r="F12" i="17"/>
  <c r="G48" i="14" s="1"/>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M16"/>
  <c r="M21" s="1"/>
  <c r="K29"/>
  <c r="B39" i="13"/>
  <c r="B51" s="1"/>
  <c r="F5" s="1"/>
  <c r="F8" s="1"/>
  <c r="G11" i="14" s="1"/>
  <c r="I21" i="48"/>
  <c r="G29"/>
  <c r="O21"/>
  <c r="H24"/>
  <c r="L16"/>
  <c r="H21"/>
  <c r="K24"/>
  <c r="K25"/>
  <c r="Q11" i="14"/>
  <c r="P12" i="13"/>
  <c r="Q37" i="14" s="1"/>
  <c r="P4" i="48"/>
  <c r="P21" s="1"/>
  <c r="D12" i="13"/>
  <c r="E37" i="14" s="1"/>
  <c r="D4" i="48"/>
  <c r="D21" s="1"/>
  <c r="E11" i="14"/>
  <c r="F23" i="48"/>
  <c r="J23"/>
  <c r="N23"/>
  <c r="N26"/>
  <c r="D28"/>
  <c r="H28"/>
  <c r="L28"/>
  <c r="F30"/>
  <c r="J30"/>
  <c r="N30"/>
  <c r="K22"/>
  <c r="G23"/>
  <c r="K23"/>
  <c r="O23"/>
  <c r="G25"/>
  <c r="F26"/>
  <c r="J26"/>
  <c r="O26"/>
  <c r="J27"/>
  <c r="I28"/>
  <c r="D29"/>
  <c r="H29"/>
  <c r="P29"/>
  <c r="K30"/>
  <c r="O30"/>
  <c r="C22" i="13"/>
  <c r="C21"/>
  <c r="C20"/>
  <c r="D23" i="48"/>
  <c r="H23"/>
  <c r="P23"/>
  <c r="H25"/>
  <c r="P26"/>
  <c r="F28"/>
  <c r="J28"/>
  <c r="N28"/>
  <c r="P30"/>
  <c r="E23"/>
  <c r="I23"/>
  <c r="O24"/>
  <c r="I25"/>
  <c r="P11" i="14"/>
  <c r="O12" i="13"/>
  <c r="P37" i="14" s="1"/>
  <c r="B10" i="48"/>
  <c r="C18" i="14"/>
  <c r="F7" i="48"/>
  <c r="F24" s="1"/>
  <c r="B50" i="13"/>
  <c r="J12" i="17"/>
  <c r="K48" i="14" s="1"/>
  <c r="J7" i="48"/>
  <c r="J24" s="1"/>
  <c r="P24"/>
  <c r="E5" i="17"/>
  <c r="C8"/>
  <c r="G24" i="48"/>
  <c r="I24"/>
  <c r="G81" i="14"/>
  <c r="D79"/>
  <c r="H79"/>
  <c r="H81" s="1"/>
  <c r="L79"/>
  <c r="L81" s="1"/>
  <c r="F79"/>
  <c r="F81" s="1"/>
  <c r="J79"/>
  <c r="E68"/>
  <c r="E69" s="1"/>
  <c r="I68"/>
  <c r="M68"/>
  <c r="M69" s="1"/>
  <c r="D19" i="18"/>
  <c r="H19"/>
  <c r="L19"/>
  <c r="B68" i="14"/>
  <c r="C68" s="1"/>
  <c r="G68"/>
  <c r="G69" s="1"/>
  <c r="K68"/>
  <c r="E81"/>
  <c r="M81"/>
  <c r="B19" i="18"/>
  <c r="F19"/>
  <c r="D11" i="14"/>
  <c r="C4" i="48"/>
  <c r="M8" i="18"/>
  <c r="M17"/>
  <c r="M18"/>
  <c r="L8" i="17" l="1"/>
  <c r="L7" i="48" s="1"/>
  <c r="L24" s="1"/>
  <c r="L5" i="17"/>
  <c r="J81" i="14"/>
  <c r="L27" i="48"/>
  <c r="L29"/>
  <c r="O78" i="14"/>
  <c r="O81" s="1"/>
  <c r="B17" i="6" s="1"/>
  <c r="C19" i="18"/>
  <c r="D13" i="14"/>
  <c r="D8" i="48"/>
  <c r="D25" s="1"/>
  <c r="D18" i="16"/>
  <c r="D22" s="1"/>
  <c r="E39" i="14" s="1"/>
  <c r="L21" i="48"/>
  <c r="B14" i="22"/>
  <c r="B9" i="48" s="1"/>
  <c r="I17" i="14"/>
  <c r="H12" i="22"/>
  <c r="D16" i="15"/>
  <c r="D20" s="1"/>
  <c r="B35" i="13"/>
  <c r="N8" i="17"/>
  <c r="I100" i="18"/>
  <c r="H7" s="1"/>
  <c r="E100"/>
  <c r="E7" s="1"/>
  <c r="H100"/>
  <c r="D100"/>
  <c r="G100"/>
  <c r="I7" s="1"/>
  <c r="C100"/>
  <c r="F100"/>
  <c r="B100"/>
  <c r="C7" s="1"/>
  <c r="G31" i="20"/>
  <c r="H43" i="14" s="1"/>
  <c r="G12" i="22"/>
  <c r="D81" i="14"/>
  <c r="O79"/>
  <c r="C7" i="48"/>
  <c r="D22" i="14"/>
  <c r="M23" i="48"/>
  <c r="L30"/>
  <c r="L23"/>
  <c r="M28"/>
  <c r="M22"/>
  <c r="D14" i="22"/>
  <c r="D9" i="48" s="1"/>
  <c r="D26" s="1"/>
  <c r="N17" i="14"/>
  <c r="M12" i="22"/>
  <c r="B36" i="13"/>
  <c r="B48" s="1"/>
  <c r="C48" s="1"/>
  <c r="N5" s="1"/>
  <c r="N8" s="1"/>
  <c r="N4" i="48" s="1"/>
  <c r="N21" s="1"/>
  <c r="O68" i="14"/>
  <c r="C79"/>
  <c r="L22" i="16"/>
  <c r="M39" i="14" s="1"/>
  <c r="L8" i="48"/>
  <c r="L25" s="1"/>
  <c r="M13" i="14"/>
  <c r="E8" i="17"/>
  <c r="F22" i="14" s="1"/>
  <c r="J16" i="18"/>
  <c r="F19" i="14"/>
  <c r="E14" i="22"/>
  <c r="K14" i="48"/>
  <c r="B34" i="13"/>
  <c r="B46" s="1"/>
  <c r="E5" s="1"/>
  <c r="E8" s="1"/>
  <c r="E12" s="1"/>
  <c r="F37" i="14" s="1"/>
  <c r="O18" i="16"/>
  <c r="L12" i="17"/>
  <c r="M48" i="14" s="1"/>
  <c r="M13" i="48"/>
  <c r="M30" s="1"/>
  <c r="M51" i="22"/>
  <c r="M50" s="1"/>
  <c r="M54" s="1"/>
  <c r="M10" i="48" s="1"/>
  <c r="M27" s="1"/>
  <c r="H31" i="20"/>
  <c r="I43" i="14" s="1"/>
  <c r="H13" i="48"/>
  <c r="H30" s="1"/>
  <c r="M31" i="20"/>
  <c r="N43" i="14" s="1"/>
  <c r="G50" i="22"/>
  <c r="G54" s="1"/>
  <c r="H18" i="14" s="1"/>
  <c r="G13" i="48"/>
  <c r="F20" i="14"/>
  <c r="H17"/>
  <c r="R17" s="1"/>
  <c r="G30" i="48"/>
  <c r="M5" i="22"/>
  <c r="M14" s="1"/>
  <c r="G5"/>
  <c r="G14" s="1"/>
  <c r="H5"/>
  <c r="H14" s="1"/>
  <c r="I14" i="48"/>
  <c r="E5" i="15"/>
  <c r="O20"/>
  <c r="P36" i="14" s="1"/>
  <c r="P10"/>
  <c r="P20" i="15"/>
  <c r="Q36" i="14" s="1"/>
  <c r="Q41" s="1"/>
  <c r="Q53"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E19"/>
  <c r="E20" s="1"/>
  <c r="O28" i="48"/>
  <c r="H22"/>
  <c r="K31"/>
  <c r="L26"/>
  <c r="M29"/>
  <c r="M25"/>
  <c r="M24"/>
  <c r="I31"/>
  <c r="C50" i="13"/>
  <c r="J5" s="1"/>
  <c r="J8" s="1"/>
  <c r="E7" i="48"/>
  <c r="E24" s="1"/>
  <c r="E12" i="17"/>
  <c r="F48" i="14" s="1"/>
  <c r="C5" i="48"/>
  <c r="C14" s="1"/>
  <c r="M22" i="14" l="1"/>
  <c r="J7" i="18"/>
  <c r="M7" s="1"/>
  <c r="M9" s="1"/>
  <c r="E13" i="14"/>
  <c r="E10"/>
  <c r="E15" s="1"/>
  <c r="E23" s="1"/>
  <c r="D5" i="48"/>
  <c r="D22" s="1"/>
  <c r="D31" s="1"/>
  <c r="J16" i="15"/>
  <c r="K10" i="14" s="1"/>
  <c r="C9" i="18"/>
  <c r="D67" i="14"/>
  <c r="N7" i="48"/>
  <c r="N24" s="1"/>
  <c r="N12" i="17"/>
  <c r="O48" i="14" s="1"/>
  <c r="K78"/>
  <c r="M16" i="18"/>
  <c r="M19" s="1"/>
  <c r="J19"/>
  <c r="O22" i="14"/>
  <c r="O8" i="48"/>
  <c r="O25" s="1"/>
  <c r="P13" i="14"/>
  <c r="P15" s="1"/>
  <c r="P23" s="1"/>
  <c r="K67"/>
  <c r="K69" s="1"/>
  <c r="F67"/>
  <c r="F69" s="1"/>
  <c r="E9" i="18"/>
  <c r="E16" i="15"/>
  <c r="F10" i="14" s="1"/>
  <c r="O22" i="16"/>
  <c r="P39" i="14" s="1"/>
  <c r="P41" s="1"/>
  <c r="P53" s="1"/>
  <c r="P55" s="1"/>
  <c r="J67"/>
  <c r="I9" i="18"/>
  <c r="I67" i="14"/>
  <c r="I69" s="1"/>
  <c r="H9" i="18"/>
  <c r="Q13" i="48"/>
  <c r="G18" i="22"/>
  <c r="H45" i="14" s="1"/>
  <c r="G58" i="22"/>
  <c r="H44" i="14" s="1"/>
  <c r="M58" i="22"/>
  <c r="N44" i="14" s="1"/>
  <c r="G10" i="48"/>
  <c r="G27" s="1"/>
  <c r="N18" i="14"/>
  <c r="R18" s="1"/>
  <c r="M18" i="22"/>
  <c r="N45" i="14" s="1"/>
  <c r="H18" i="22"/>
  <c r="I45" i="14" s="1"/>
  <c r="I46" s="1"/>
  <c r="I53" s="1"/>
  <c r="I19"/>
  <c r="I20" s="1"/>
  <c r="I23" s="1"/>
  <c r="H9" i="48"/>
  <c r="E5"/>
  <c r="E22" s="1"/>
  <c r="P14"/>
  <c r="B8"/>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J5" i="48" l="1"/>
  <c r="J22" s="1"/>
  <c r="J9" i="18"/>
  <c r="N46" i="14"/>
  <c r="N53" s="1"/>
  <c r="B14" i="48"/>
  <c r="R22" i="14"/>
  <c r="D14" i="48"/>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M9" i="48"/>
  <c r="K13" i="14"/>
  <c r="K15" s="1"/>
  <c r="K23" s="1"/>
  <c r="I55"/>
  <c r="H26" i="48"/>
  <c r="H31" s="1"/>
  <c r="H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N22" i="16"/>
  <c r="O39" i="14" s="1"/>
  <c r="O41" s="1"/>
  <c r="Q4" i="48"/>
  <c r="N22"/>
  <c r="R11" i="14"/>
  <c r="J21" i="48"/>
  <c r="R10" i="14"/>
  <c r="J31" i="48" l="1"/>
  <c r="Q5"/>
  <c r="J14"/>
  <c r="F8"/>
  <c r="F14" s="1"/>
  <c r="N55" i="14"/>
  <c r="Q9" i="48"/>
  <c r="E25"/>
  <c r="E31" s="1"/>
  <c r="E14"/>
  <c r="N25"/>
  <c r="N31" s="1"/>
  <c r="N14"/>
  <c r="E22" i="16"/>
  <c r="F39" i="14" s="1"/>
  <c r="F41" s="1"/>
  <c r="F53" s="1"/>
  <c r="F55" s="1"/>
  <c r="J22" i="16"/>
  <c r="K39" i="14" s="1"/>
  <c r="K41" s="1"/>
  <c r="K53" s="1"/>
  <c r="F13"/>
  <c r="F15" s="1"/>
  <c r="F23" s="1"/>
  <c r="G14" i="48"/>
  <c r="H55" i="14"/>
  <c r="M14" i="48"/>
  <c r="R19" i="14"/>
  <c r="R20" s="1"/>
  <c r="M26" i="48"/>
  <c r="M31" s="1"/>
  <c r="O53" i="14"/>
  <c r="G53"/>
  <c r="G55" s="1"/>
  <c r="O69" s="1"/>
  <c r="B9" i="6" s="1"/>
  <c r="B12" s="1"/>
  <c r="M53" i="14"/>
  <c r="M55" s="1"/>
  <c r="C12" i="13"/>
  <c r="D37" i="14" s="1"/>
  <c r="D41" s="1"/>
  <c r="C23" i="48"/>
  <c r="C24"/>
  <c r="C27"/>
  <c r="C28"/>
  <c r="C22"/>
  <c r="C25"/>
  <c r="C29"/>
  <c r="C21"/>
  <c r="C26"/>
  <c r="K55" i="14"/>
  <c r="R13"/>
  <c r="R15" s="1"/>
  <c r="Q14" i="48" l="1"/>
  <c r="Q8"/>
  <c r="F25"/>
  <c r="F31" s="1"/>
  <c r="B18" i="15"/>
  <c r="B20" s="1"/>
  <c r="B10" i="17"/>
  <c r="B12" s="1"/>
  <c r="C48" i="14" s="1"/>
  <c r="R48" s="1"/>
  <c r="B17" i="49"/>
  <c r="B19" s="1"/>
  <c r="C38" i="14" s="1"/>
  <c r="R38" s="1"/>
  <c r="B10" i="13"/>
  <c r="B12" s="1"/>
  <c r="C37" i="14" s="1"/>
  <c r="B20" i="16"/>
  <c r="B22" s="1"/>
  <c r="C39" i="14" s="1"/>
  <c r="R39" s="1"/>
  <c r="B10" i="9"/>
  <c r="B12" s="1"/>
  <c r="B29" i="20"/>
  <c r="B31" s="1"/>
  <c r="C43" i="14" s="1"/>
  <c r="R43" s="1"/>
  <c r="B56" i="22"/>
  <c r="B58" s="1"/>
  <c r="C44" i="14" s="1"/>
  <c r="R44" s="1"/>
  <c r="B16" i="22"/>
  <c r="B18" s="1"/>
  <c r="C45" i="14" s="1"/>
  <c r="R45" s="1"/>
  <c r="B17" i="19"/>
  <c r="B19" s="1"/>
  <c r="C35" i="14" s="1"/>
  <c r="R35" s="1"/>
  <c r="R23"/>
  <c r="R37"/>
  <c r="D53"/>
  <c r="D55" s="1"/>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<sst xmlns="http://schemas.openxmlformats.org/spreadsheetml/2006/main" count="2036" uniqueCount="887">
  <si>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</si>
  <si>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</si>
  <si>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</si>
  <si>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</si>
  <si>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</si>
  <si>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</si>
  <si>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</si>
  <si>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</si>
  <si>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</si>
  <si>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</si>
  <si>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</si>
  <si>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</si>
  <si>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</si>
  <si>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</si>
  <si>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</si>
  <si>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</si>
  <si>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</si>
  <si>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</si>
  <si>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</si>
  <si>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</si>
  <si>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</si>
  <si>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</si>
  <si>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</si>
  <si>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</si>
  <si>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</si>
  <si>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</si>
  <si>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</si>
  <si>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</si>
  <si>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</si>
  <si>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</si>
  <si>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</si>
  <si>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</si>
  <si>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</si>
  <si>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</si>
  <si>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</si>
  <si>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</si>
  <si>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</si>
  <si>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</si>
  <si>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</si>
  <si>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</si>
  <si>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</si>
  <si>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</si>
  <si>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</si>
  <si>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</si>
  <si>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</si>
  <si>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</si>
  <si>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</si>
  <si>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</si>
  <si>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</si>
  <si>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</si>
  <si>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</si>
  <si>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</si>
  <si>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</si>
  <si>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</si>
  <si>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</si>
  <si>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</si>
  <si>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</si>
  <si>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</si>
  <si>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</si>
  <si>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</si>
  <si>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</si>
  <si>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</si>
  <si>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</si>
  <si>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</si>
  <si>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</si>
  <si>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</si>
  <si>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</si>
  <si>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</si>
  <si>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</si>
  <si>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</si>
  <si>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</si>
  <si>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</si>
  <si>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</si>
  <si>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</si>
  <si>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</si>
  <si>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</si>
  <si>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</si>
  <si>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</si>
  <si>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</si>
  <si>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</si>
  <si>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</si>
  <si>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</si>
  <si>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</si>
  <si>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</si>
  <si>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</si>
  <si>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</si>
  <si>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</si>
  <si>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</si>
  <si>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</si>
  <si>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</si>
  <si>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</si>
  <si>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</si>
  <si>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</si>
  <si>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</si>
  <si>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</si>
  <si>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</si>
  <si>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</si>
  <si>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</si>
  <si>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</si>
  <si>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</si>
  <si>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</si>
  <si>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</si>
  <si>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</si>
  <si>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</si>
  <si>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</si>
  <si>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</si>
  <si>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</si>
  <si>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</si>
  <si>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</si>
  <si>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</si>
  <si>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</si>
  <si>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</si>
  <si>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</si>
  <si>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</si>
  <si>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</si>
  <si>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</si>
  <si>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</si>
  <si>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</si>
  <si>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</si>
  <si>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</si>
  <si>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</si>
  <si>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</si>
  <si>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</si>
  <si>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</si>
  <si>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</si>
  <si>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</si>
  <si>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</si>
  <si>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</si>
  <si>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</si>
  <si>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</si>
  <si>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</si>
  <si>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</si>
  <si>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</si>
  <si>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</si>
  <si>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</si>
  <si>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</si>
  <si>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</si>
  <si>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</si>
  <si>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</si>
  <si>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</si>
  <si>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</si>
  <si>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</si>
  <si>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</si>
  <si>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</si>
  <si>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</si>
  <si>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</si>
  <si>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</si>
  <si>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</si>
  <si>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</si>
  <si>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</si>
  <si>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</si>
  <si>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</si>
  <si>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</si>
  <si>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</si>
  <si>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</si>
  <si>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</si>
  <si>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</si>
  <si>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</si>
  <si>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</si>
  <si>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</si>
  <si>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</si>
  <si>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</si>
  <si>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</si>
  <si>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</si>
  <si>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</si>
  <si>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</si>
  <si>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</si>
  <si>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</si>
  <si>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</si>
  <si>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</si>
  <si>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</si>
  <si>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</si>
  <si>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</si>
  <si>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</si>
  <si>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</si>
  <si>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</si>
  <si>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</si>
  <si>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</si>
  <si>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</si>
  <si>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</si>
  <si>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</si>
  <si>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</si>
  <si>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</si>
  <si>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</si>
  <si>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</si>
  <si>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</si>
  <si>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</si>
  <si>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</si>
  <si>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</si>
  <si>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</si>
  <si>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</si>
  <si>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</si>
  <si>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</si>
  <si>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</si>
  <si>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</si>
  <si>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</si>
  <si>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</si>
  <si>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</si>
  <si>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</si>
  <si>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</si>
  <si>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</si>
  <si>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</si>
  <si>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</si>
  <si>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</si>
  <si>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</si>
  <si>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</si>
  <si>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</si>
  <si>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</si>
  <si>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</si>
  <si>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</si>
  <si>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</si>
  <si>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</si>
  <si>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</si>
  <si>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</si>
  <si>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</si>
  <si>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</si>
  <si>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</si>
  <si>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</si>
  <si>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</si>
  <si>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</si>
  <si>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</si>
  <si>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</si>
  <si>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</si>
  <si>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</si>
  <si>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</si>
  <si>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</si>
  <si>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</si>
  <si>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</si>
  <si>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</si>
  <si>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</si>
  <si>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</si>
  <si>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</si>
  <si>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</si>
  <si>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</si>
  <si>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</si>
  <si>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</si>
  <si>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</si>
  <si>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</si>
  <si>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</si>
  <si>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</si>
  <si>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</si>
  <si>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</si>
  <si>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</si>
  <si>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</si>
  <si>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</si>
  <si>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</si>
  <si>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</si>
  <si>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</si>
  <si>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</si>
  <si>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</si>
  <si>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</si>
  <si>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</si>
  <si>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</si>
  <si>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</si>
  <si>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</si>
  <si>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</si>
  <si>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</si>
  <si>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</si>
  <si>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</si>
  <si>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</si>
  <si>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</si>
  <si>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</si>
  <si>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</si>
  <si>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</si>
  <si>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</si>
  <si>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</si>
  <si>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</si>
  <si>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</si>
  <si>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</si>
  <si>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</si>
  <si>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</si>
  <si>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</si>
  <si>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</si>
  <si>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</si>
  <si>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</si>
  <si>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</si>
  <si>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</si>
  <si>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</si>
  <si>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</si>
  <si>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</si>
  <si>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</si>
  <si>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</si>
  <si>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</si>
  <si>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</si>
  <si>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</si>
  <si>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</si>
  <si>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</si>
  <si>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</si>
  <si>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</si>
  <si>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</si>
  <si>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</si>
  <si>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</si>
  <si>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</si>
  <si>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</si>
  <si>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</si>
  <si>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</si>
  <si>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</si>
  <si>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</si>
  <si>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</si>
  <si>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</si>
  <si>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</si>
  <si>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</si>
  <si>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</si>
  <si>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</si>
  <si>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</si>
  <si>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</si>
  <si>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</si>
  <si>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</si>
  <si>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</si>
  <si>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</si>
  <si>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</si>
  <si>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</si>
  <si>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</si>
  <si>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</si>
  <si>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</si>
  <si>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</si>
  <si>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</si>
  <si>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</si>
  <si>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</si>
  <si>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</si>
  <si>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</si>
  <si>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</si>
  <si>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</si>
  <si>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</si>
  <si>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</si>
  <si>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</si>
  <si>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</si>
  <si>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</si>
  <si>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</si>
  <si>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</si>
  <si>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</si>
  <si>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</si>
  <si>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</si>
  <si>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</si>
  <si>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</si>
  <si>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</si>
  <si>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</si>
  <si>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</si>
  <si>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</si>
  <si>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</si>
  <si>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</si>
  <si>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</si>
  <si>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</si>
  <si>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</si>
  <si>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</si>
  <si>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</si>
  <si>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</si>
  <si>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</si>
  <si>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</si>
  <si>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</si>
  <si>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</si>
  <si>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</si>
  <si>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</si>
  <si>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</si>
  <si>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</si>
  <si>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</si>
  <si>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</si>
  <si>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</si>
  <si>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</si>
  <si>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</si>
  <si>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</si>
  <si>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</si>
  <si>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</si>
  <si>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</si>
  <si>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</si>
  <si>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</si>
  <si>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</si>
  <si>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</si>
  <si>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</si>
  <si>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</si>
  <si>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</si>
  <si>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</si>
  <si>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</si>
  <si>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</si>
  <si>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</si>
  <si>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</si>
  <si>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</si>
  <si>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</si>
  <si>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</si>
  <si>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</si>
  <si>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</si>
  <si>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</si>
  <si>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</si>
  <si>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</si>
  <si>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</si>
  <si>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</si>
  <si>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</si>
  <si>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</si>
  <si>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</si>
  <si>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</si>
  <si>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</si>
  <si>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</si>
  <si>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</si>
  <si>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</si>
  <si>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</si>
  <si>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</si>
  <si>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</si>
  <si>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</si>
  <si>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</si>
  <si>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</si>
  <si>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</si>
  <si>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</si>
  <si>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</si>
  <si>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</si>
  <si>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</si>
  <si>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</si>
  <si>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</si>
  <si>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</si>
  <si>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</si>
  <si>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</si>
  <si>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</si>
  <si>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</si>
  <si>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</si>
  <si>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</si>
  <si>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</si>
  <si>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</si>
  <si>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</si>
  <si>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</si>
  <si>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</si>
  <si>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</si>
  <si>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</si>
  <si>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</si>
  <si>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</si>
  <si>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</si>
  <si>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</si>
  <si>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</si>
  <si>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</si>
  <si>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</si>
  <si>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</si>
  <si>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</si>
  <si>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</si>
  <si>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</si>
  <si>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</si>
  <si>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</si>
  <si>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</si>
  <si>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</si>
  <si>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</si>
  <si>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</si>
  <si>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</si>
  <si>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</si>
  <si>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</si>
  <si>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</si>
  <si>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</si>
  <si>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</si>
  <si>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</si>
  <si>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</si>
  <si>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</si>
  <si>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</si>
  <si>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</si>
  <si>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</si>
  <si>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</si>
  <si>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</si>
  <si>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</si>
  <si>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</si>
  <si>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</si>
  <si>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</si>
  <si>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</si>
  <si>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</si>
  <si>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</si>
  <si>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</si>
  <si>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</si>
  <si>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</si>
  <si>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</si>
  <si>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</si>
  <si>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</si>
  <si>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</si>
  <si>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</si>
  <si>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</si>
  <si>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</si>
  <si>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</si>
  <si>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</si>
  <si>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</si>
  <si>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</si>
  <si>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</si>
  <si>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</si>
  <si>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</si>
  <si>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</si>
  <si>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</si>
  <si>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</si>
  <si>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</si>
  <si>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</si>
  <si>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</si>
  <si>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</si>
  <si>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</si>
  <si>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</si>
  <si>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</si>
  <si>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</si>
  <si>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</si>
  <si>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</si>
  <si>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</si>
  <si>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</si>
  <si>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</si>
  <si>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</si>
  <si>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</si>
  <si>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</si>
  <si>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</si>
  <si>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</si>
  <si>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</si>
  <si>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</si>
  <si>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</si>
  <si>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</si>
  <si>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</si>
  <si>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</si>
  <si>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</si>
  <si>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</si>
  <si>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</si>
  <si>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</si>
  <si>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</si>
  <si>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</si>
  <si>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</si>
  <si>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</si>
  <si>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</si>
  <si>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</si>
  <si>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</si>
  <si>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</si>
  <si>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</si>
  <si>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</si>
  <si>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</si>
  <si>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</si>
  <si>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</si>
  <si>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</si>
  <si>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</si>
  <si>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</si>
  <si>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</si>
  <si>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</si>
  <si>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</si>
  <si>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</si>
  <si>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</si>
  <si>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</si>
  <si>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</si>
  <si>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</si>
  <si>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</si>
  <si>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</si>
  <si>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</si>
  <si>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</si>
  <si>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</si>
  <si>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</si>
  <si>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</si>
  <si>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</si>
  <si>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</si>
  <si>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</si>
  <si>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</si>
  <si>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</si>
  <si>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</si>
  <si>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</si>
  <si>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</si>
  <si>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</si>
  <si>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</si>
  <si>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</si>
  <si>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</si>
  <si>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</si>
  <si>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</si>
  <si>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</si>
  <si>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</si>
  <si>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</si>
  <si>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</si>
  <si>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</si>
  <si>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</si>
  <si>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</si>
  <si>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</si>
  <si>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</si>
  <si>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</si>
  <si>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</si>
  <si>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</si>
  <si>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</si>
  <si>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</si>
  <si>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</si>
  <si>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</si>
  <si>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</si>
  <si>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</si>
  <si>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</si>
  <si>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</si>
  <si>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</si>
  <si>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</si>
  <si>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</si>
  <si>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</si>
  <si>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</si>
  <si>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</si>
  <si>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</si>
  <si>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</si>
  <si>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</si>
  <si>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</si>
  <si>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</si>
  <si>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</si>
  <si>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</si>
  <si>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</si>
  <si>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</si>
  <si>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</si>
  <si>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</si>
  <si>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</si>
  <si>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</si>
  <si>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</si>
  <si>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</si>
  <si>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</si>
  <si>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</si>
  <si>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</si>
  <si>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</si>
  <si>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</si>
  <si>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</si>
  <si>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</si>
  <si>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</si>
  <si>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</si>
  <si>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</si>
  <si>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</si>
  <si>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</si>
  <si>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</si>
  <si>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</si>
  <si>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</si>
  <si>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</si>
  <si>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</si>
  <si>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</si>
  <si>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</si>
  <si>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</si>
  <si>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</si>
  <si>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</si>
  <si>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</si>
  <si>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</si>
  <si>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</si>
  <si>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</si>
  <si>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</si>
  <si>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</si>
  <si>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</si>
  <si>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</si>
  <si>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</si>
  <si>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</si>
  <si>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</si>
  <si>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</si>
  <si>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</si>
  <si>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</si>
  <si>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</si>
  <si>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</si>
  <si>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</si>
  <si>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</si>
  <si>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</si>
  <si>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</si>
  <si>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</si>
  <si>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</si>
  <si>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</si>
  <si>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</si>
  <si>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</si>
  <si>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</si>
  <si>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</si>
  <si>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</si>
  <si>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</si>
  <si>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</si>
  <si>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</si>
  <si>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</si>
  <si>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</si>
  <si>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</si>
  <si>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</si>
  <si>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</si>
  <si>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</si>
  <si>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</si>
  <si>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</si>
  <si>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</si>
  <si>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</si>
  <si>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</si>
  <si>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</si>
  <si>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</si>
  <si>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</si>
  <si>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</si>
  <si>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</si>
  <si>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</si>
  <si>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</si>
  <si>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</si>
  <si>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</si>
  <si>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</si>
  <si>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</si>
  <si>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</si>
  <si>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</si>
  <si>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</si>
  <si>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</si>
  <si>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</si>
  <si>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</si>
  <si>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</si>
  <si>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</si>
  <si>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</si>
  <si>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</si>
  <si>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</si>
  <si>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</si>
  <si>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</si>
  <si>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</si>
  <si>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</si>
  <si>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</si>
  <si>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</si>
  <si>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</si>
  <si>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</si>
  <si>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</si>
  <si>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</si>
  <si>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</si>
  <si>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</si>
  <si>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</si>
  <si>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</si>
  <si>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</si>
  <si>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</si>
  <si>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</si>
  <si>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</si>
  <si>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</si>
  <si>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</si>
  <si>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</si>
  <si>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</si>
  <si>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</si>
  <si>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</si>
  <si>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</si>
  <si>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</si>
  <si>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</si>
  <si>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</si>
  <si>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</si>
  <si>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</si>
  <si>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</si>
  <si>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</si>
  <si>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</si>
  <si>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</si>
  <si>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</si>
  <si>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</si>
  <si>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</si>
  <si>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</si>
  <si>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</si>
  <si>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</si>
  <si>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</si>
  <si>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</si>
  <si>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</si>
  <si>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</si>
  <si>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</si>
  <si>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</si>
  <si>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</si>
  <si>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</si>
  <si>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</si>
  <si>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</si>
  <si>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</si>
  <si>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</si>
  <si>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</si>
  <si>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</si>
  <si>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</si>
  <si>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</si>
  <si>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</si>
  <si>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</si>
  <si>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</si>
  <si>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</si>
  <si>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</si>
  <si>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</si>
  <si>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</si>
  <si>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</si>
  <si>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</si>
  <si>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</si>
  <si>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</si>
  <si>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</si>
  <si>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</si>
  <si>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</si>
  <si>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</si>
  <si>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</si>
  <si>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</si>
  <si>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</si>
  <si>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</si>
  <si>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</si>
  <si>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</si>
  <si>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</si>
  <si>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</si>
  <si>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</si>
  <si>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</si>
  <si>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</si>
  <si>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</si>
  <si>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</si>
  <si>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</si>
  <si>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</si>
  <si>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</si>
  <si>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</si>
  <si>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</si>
  <si>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</si>
  <si>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</si>
  <si>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</si>
  <si>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</si>
  <si>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</si>
  <si>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</si>
  <si>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</si>
  <si>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</si>
  <si>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</si>
  <si>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</si>
  <si>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</si>
  <si>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</si>
  <si>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</si>
  <si>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</si>
  <si>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</si>
  <si>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</si>
  <si>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</si>
  <si>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</si>
  <si>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</si>
  <si>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</si>
  <si>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</si>
  <si>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</si>
  <si>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</si>
  <si>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</si>
  <si>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</si>
  <si>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</si>
  <si>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</si>
  <si>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</si>
  <si>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</si>
  <si>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</si>
  <si>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</si>
  <si>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</si>
  <si>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</si>
  <si>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</si>
  <si>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</si>
  <si>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</si>
  <si>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</si>
  <si>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</si>
  <si>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</si>
  <si>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</si>
  <si>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</si>
  <si>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</si>
  <si>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</si>
  <si>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</si>
  <si>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</si>
  <si>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</si>
  <si>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</si>
  <si>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</si>
  <si>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</si>
  <si>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</si>
  <si>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</si>
  <si>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</si>
  <si>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</si>
  <si>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</si>
  <si>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</si>
  <si>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</si>
  <si>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</si>
  <si>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</si>
  <si>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</si>
  <si>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</si>
  <si>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</si>
  <si>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</si>
  <si>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</si>
  <si>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</si>
  <si>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</si>
  <si>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</si>
  <si>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</si>
  <si>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</si>
  <si>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</si>
  <si>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</si>
  <si>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</si>
  <si>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</si>
  <si>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</si>
  <si>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</si>
  <si>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</si>
  <si>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</si>
  <si>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</si>
  <si>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</si>
  <si>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</si>
  <si>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</si>
  <si>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</si>
  <si>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</si>
  <si>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</si>
  <si>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</si>
  <si>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</si>
  <si>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</si>
  <si>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</si>
  <si>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</si>
  <si>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</si>
  <si>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</si>
  <si>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</si>
  <si>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</si>
  <si>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</si>
  <si>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</si>
  <si>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</si>
  <si>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</si>
  <si>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</si>
  <si>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</si>
  <si>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</si>
  <si>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</si>
  <si>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</si>
  <si>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</si>
  <si>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</si>
  <si>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12030</t>
  </si>
  <si>
    <t>PUURS</t>
  </si>
  <si>
    <t>Paarden&amp;pony's 200 - 600 kg</t>
  </si>
  <si>
    <t>Paarden&amp;pony's &lt; 200 kg</t>
  </si>
  <si>
    <t>op basis van VEA (maart 2018) en Inventaris Hernieuwbare Energiebronnen (juni 2018)</t>
  </si>
  <si>
    <t>VEA (juni 2018)</t>
  </si>
  <si>
    <t>Pfizer Manufacturing Belgium NV</t>
  </si>
  <si>
    <t>Rijksweg 12, 2870 Puurs</t>
  </si>
  <si>
    <t>WKK-0104 Pfizer Puurs</t>
  </si>
  <si>
    <t>interne verbrandingsmotor</t>
  </si>
  <si>
    <t>WKK interne verbrandinsgmotor (gas)</t>
  </si>
  <si>
    <t>IVERLEK</t>
  </si>
  <si>
    <t>Alcon-Couvreur</t>
  </si>
  <si>
    <t>Rijksweg 14 , 2870 Puurs</t>
  </si>
  <si>
    <t>WKK-0401 Alcon-Couvreur</t>
  </si>
  <si>
    <t>chemie</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</si>
</sst>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12030</v>
      </c>
      <c r="B6" s="397"/>
      <c r="C6" s="398"/>
    </row>
    <row r="7" spans="1:7" s="395" customFormat="1" ht="15.75" customHeight="1">
      <c r="A7" s="399" t="str">
        <f>txtMunicipality</f>
        <v>PUURS</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12030</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6786</v>
      </c>
      <c r="C9" s="338">
        <v>7472</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1150</v>
      </c>
    </row>
    <row r="15" spans="1:6">
      <c r="A15" s="1205" t="s">
        <v>184</v>
      </c>
      <c r="B15" s="335">
        <v>1181</v>
      </c>
    </row>
    <row r="16" spans="1:6">
      <c r="A16" s="1205" t="s">
        <v>6</v>
      </c>
      <c r="B16" s="335">
        <v>498</v>
      </c>
    </row>
    <row r="17" spans="1:6">
      <c r="A17" s="1205" t="s">
        <v>7</v>
      </c>
      <c r="B17" s="335">
        <v>5</v>
      </c>
    </row>
    <row r="18" spans="1:6">
      <c r="A18" s="1205" t="s">
        <v>8</v>
      </c>
      <c r="B18" s="335">
        <v>216</v>
      </c>
    </row>
    <row r="19" spans="1:6">
      <c r="A19" s="1205" t="s">
        <v>9</v>
      </c>
      <c r="B19" s="335">
        <v>75</v>
      </c>
    </row>
    <row r="20" spans="1:6">
      <c r="A20" s="1205" t="s">
        <v>10</v>
      </c>
      <c r="B20" s="335">
        <v>61</v>
      </c>
    </row>
    <row r="21" spans="1:6">
      <c r="A21" s="1205" t="s">
        <v>11</v>
      </c>
      <c r="B21" s="335">
        <v>0</v>
      </c>
    </row>
    <row r="22" spans="1:6">
      <c r="A22" s="1205" t="s">
        <v>12</v>
      </c>
      <c r="B22" s="335">
        <v>2</v>
      </c>
    </row>
    <row r="23" spans="1:6">
      <c r="A23" s="1205" t="s">
        <v>13</v>
      </c>
      <c r="B23" s="335">
        <v>0</v>
      </c>
    </row>
    <row r="24" spans="1:6">
      <c r="A24" s="1205" t="s">
        <v>14</v>
      </c>
      <c r="B24" s="335">
        <v>0</v>
      </c>
    </row>
    <row r="25" spans="1:6">
      <c r="A25" s="1205" t="s">
        <v>15</v>
      </c>
      <c r="B25" s="335">
        <v>0</v>
      </c>
    </row>
    <row r="26" spans="1:6">
      <c r="A26" s="1205" t="s">
        <v>16</v>
      </c>
      <c r="B26" s="335">
        <v>0</v>
      </c>
    </row>
    <row r="27" spans="1:6">
      <c r="A27" s="1205" t="s">
        <v>17</v>
      </c>
      <c r="B27" s="335">
        <v>0</v>
      </c>
    </row>
    <row r="28" spans="1:6" s="341" customFormat="1">
      <c r="A28" s="1206" t="s">
        <v>18</v>
      </c>
      <c r="B28" s="1206">
        <v>3230</v>
      </c>
    </row>
    <row r="29" spans="1:6">
      <c r="A29" s="1206" t="s">
        <v>873</v>
      </c>
      <c r="B29" s="1206">
        <v>111</v>
      </c>
      <c r="C29" s="341"/>
      <c r="D29" s="341"/>
      <c r="E29" s="341"/>
      <c r="F29" s="341"/>
    </row>
    <row r="30" spans="1:6">
      <c r="A30" s="1201" t="s">
        <v>874</v>
      </c>
      <c r="B30" s="1201">
        <v>52</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0</v>
      </c>
      <c r="F36" s="335">
        <v>0</v>
      </c>
    </row>
    <row r="37" spans="1:6">
      <c r="A37" s="1205" t="s">
        <v>25</v>
      </c>
      <c r="B37" s="1205" t="s">
        <v>28</v>
      </c>
      <c r="C37" s="335">
        <v>0</v>
      </c>
      <c r="D37" s="335">
        <v>0</v>
      </c>
      <c r="E37" s="335">
        <v>0</v>
      </c>
      <c r="F37" s="335">
        <v>0</v>
      </c>
    </row>
    <row r="38" spans="1:6">
      <c r="A38" s="1205" t="s">
        <v>25</v>
      </c>
      <c r="B38" s="1205" t="s">
        <v>29</v>
      </c>
      <c r="C38" s="335">
        <v>0</v>
      </c>
      <c r="D38" s="335">
        <v>0</v>
      </c>
      <c r="E38" s="335">
        <v>3</v>
      </c>
      <c r="F38" s="335">
        <v>40405.839883406297</v>
      </c>
    </row>
    <row r="39" spans="1:6">
      <c r="A39" s="1205" t="s">
        <v>30</v>
      </c>
      <c r="B39" s="1205" t="s">
        <v>31</v>
      </c>
      <c r="C39" s="335">
        <v>4976</v>
      </c>
      <c r="D39" s="335">
        <v>92016512.735029995</v>
      </c>
      <c r="E39" s="335">
        <v>6767</v>
      </c>
      <c r="F39" s="335">
        <v>27107667.70504</v>
      </c>
    </row>
    <row r="40" spans="1:6">
      <c r="A40" s="1205" t="s">
        <v>30</v>
      </c>
      <c r="B40" s="1205" t="s">
        <v>29</v>
      </c>
      <c r="C40" s="335">
        <v>0</v>
      </c>
      <c r="D40" s="335">
        <v>0</v>
      </c>
      <c r="E40" s="335">
        <v>0</v>
      </c>
      <c r="F40" s="335">
        <v>0</v>
      </c>
    </row>
    <row r="41" spans="1:6">
      <c r="A41" s="1205" t="s">
        <v>32</v>
      </c>
      <c r="B41" s="1205" t="s">
        <v>33</v>
      </c>
      <c r="C41" s="335">
        <v>42</v>
      </c>
      <c r="D41" s="335">
        <v>1819566.02615967</v>
      </c>
      <c r="E41" s="335">
        <v>134</v>
      </c>
      <c r="F41" s="335">
        <v>12127678.980043801</v>
      </c>
    </row>
    <row r="42" spans="1:6">
      <c r="A42" s="1205" t="s">
        <v>32</v>
      </c>
      <c r="B42" s="1205" t="s">
        <v>34</v>
      </c>
      <c r="C42" s="335">
        <v>9</v>
      </c>
      <c r="D42" s="335">
        <v>102407801.402201</v>
      </c>
      <c r="E42" s="335">
        <v>9</v>
      </c>
      <c r="F42" s="335">
        <v>37614238.430742703</v>
      </c>
    </row>
    <row r="43" spans="1:6">
      <c r="A43" s="1205" t="s">
        <v>32</v>
      </c>
      <c r="B43" s="1205" t="s">
        <v>35</v>
      </c>
      <c r="C43" s="335">
        <v>0</v>
      </c>
      <c r="D43" s="335">
        <v>0</v>
      </c>
      <c r="E43" s="335">
        <v>0</v>
      </c>
      <c r="F43" s="335">
        <v>0</v>
      </c>
    </row>
    <row r="44" spans="1:6">
      <c r="A44" s="1205" t="s">
        <v>32</v>
      </c>
      <c r="B44" s="1205" t="s">
        <v>36</v>
      </c>
      <c r="C44" s="335">
        <v>3</v>
      </c>
      <c r="D44" s="335">
        <v>241908.99318396699</v>
      </c>
      <c r="E44" s="335">
        <v>9</v>
      </c>
      <c r="F44" s="335">
        <v>152414.58209031701</v>
      </c>
    </row>
    <row r="45" spans="1:6">
      <c r="A45" s="1205" t="s">
        <v>32</v>
      </c>
      <c r="B45" s="1205" t="s">
        <v>37</v>
      </c>
      <c r="C45" s="335">
        <v>3</v>
      </c>
      <c r="D45" s="335">
        <v>120216.181238265</v>
      </c>
      <c r="E45" s="335">
        <v>3</v>
      </c>
      <c r="F45" s="335">
        <v>35547.187207780698</v>
      </c>
    </row>
    <row r="46" spans="1:6">
      <c r="A46" s="1205" t="s">
        <v>32</v>
      </c>
      <c r="B46" s="1205" t="s">
        <v>38</v>
      </c>
      <c r="C46" s="335">
        <v>0</v>
      </c>
      <c r="D46" s="335">
        <v>0</v>
      </c>
      <c r="E46" s="335">
        <v>0</v>
      </c>
      <c r="F46" s="335">
        <v>0</v>
      </c>
    </row>
    <row r="47" spans="1:6">
      <c r="A47" s="1205" t="s">
        <v>32</v>
      </c>
      <c r="B47" s="1205" t="s">
        <v>39</v>
      </c>
      <c r="C47" s="335">
        <v>0</v>
      </c>
      <c r="D47" s="335">
        <v>0</v>
      </c>
      <c r="E47" s="335">
        <v>0</v>
      </c>
      <c r="F47" s="335">
        <v>0</v>
      </c>
    </row>
    <row r="48" spans="1:6">
      <c r="A48" s="1205" t="s">
        <v>32</v>
      </c>
      <c r="B48" s="1205" t="s">
        <v>29</v>
      </c>
      <c r="C48" s="335">
        <v>30</v>
      </c>
      <c r="D48" s="335">
        <v>29448028.6479173</v>
      </c>
      <c r="E48" s="335">
        <v>44</v>
      </c>
      <c r="F48" s="335">
        <v>42401265.519123398</v>
      </c>
    </row>
    <row r="49" spans="1:6">
      <c r="A49" s="1205" t="s">
        <v>32</v>
      </c>
      <c r="B49" s="1205" t="s">
        <v>40</v>
      </c>
      <c r="C49" s="335">
        <v>0</v>
      </c>
      <c r="D49" s="335">
        <v>0</v>
      </c>
      <c r="E49" s="335">
        <v>0</v>
      </c>
      <c r="F49" s="335">
        <v>0</v>
      </c>
    </row>
    <row r="50" spans="1:6">
      <c r="A50" s="1205" t="s">
        <v>32</v>
      </c>
      <c r="B50" s="1205" t="s">
        <v>41</v>
      </c>
      <c r="C50" s="335">
        <v>13</v>
      </c>
      <c r="D50" s="335">
        <v>26511604.6574389</v>
      </c>
      <c r="E50" s="335">
        <v>13</v>
      </c>
      <c r="F50" s="335">
        <v>15484585.088635899</v>
      </c>
    </row>
    <row r="51" spans="1:6">
      <c r="A51" s="1205" t="s">
        <v>42</v>
      </c>
      <c r="B51" s="1205" t="s">
        <v>43</v>
      </c>
      <c r="C51" s="335">
        <v>6</v>
      </c>
      <c r="D51" s="335">
        <v>154471.80436510401</v>
      </c>
      <c r="E51" s="335">
        <v>40</v>
      </c>
      <c r="F51" s="335">
        <v>727616.80514834903</v>
      </c>
    </row>
    <row r="52" spans="1:6">
      <c r="A52" s="1205" t="s">
        <v>42</v>
      </c>
      <c r="B52" s="1205" t="s">
        <v>29</v>
      </c>
      <c r="C52" s="335">
        <v>2</v>
      </c>
      <c r="D52" s="335">
        <v>379733.00304388901</v>
      </c>
      <c r="E52" s="335">
        <v>12</v>
      </c>
      <c r="F52" s="335">
        <v>190285.065600879</v>
      </c>
    </row>
    <row r="53" spans="1:6">
      <c r="A53" s="1205" t="s">
        <v>44</v>
      </c>
      <c r="B53" s="1205" t="s">
        <v>45</v>
      </c>
      <c r="C53" s="335">
        <v>109</v>
      </c>
      <c r="D53" s="335">
        <v>3066390.13720376</v>
      </c>
      <c r="E53" s="335">
        <v>190</v>
      </c>
      <c r="F53" s="335">
        <v>1076072.2992549899</v>
      </c>
    </row>
    <row r="54" spans="1:6">
      <c r="A54" s="1205" t="s">
        <v>46</v>
      </c>
      <c r="B54" s="1205" t="s">
        <v>47</v>
      </c>
      <c r="C54" s="335">
        <v>0</v>
      </c>
      <c r="D54" s="335">
        <v>0</v>
      </c>
      <c r="E54" s="335">
        <v>1</v>
      </c>
      <c r="F54" s="335">
        <v>1503581</v>
      </c>
    </row>
    <row r="55" spans="1:6">
      <c r="A55" s="1205" t="s">
        <v>46</v>
      </c>
      <c r="B55" s="1205" t="s">
        <v>29</v>
      </c>
      <c r="C55" s="335">
        <v>0</v>
      </c>
      <c r="D55" s="335">
        <v>0</v>
      </c>
      <c r="E55" s="335">
        <v>0</v>
      </c>
      <c r="F55" s="335">
        <v>0</v>
      </c>
    </row>
    <row r="56" spans="1:6">
      <c r="A56" s="1205" t="s">
        <v>48</v>
      </c>
      <c r="B56" s="1205" t="s">
        <v>29</v>
      </c>
      <c r="C56" s="335">
        <v>0</v>
      </c>
      <c r="D56" s="335">
        <v>0</v>
      </c>
      <c r="E56" s="335">
        <v>0</v>
      </c>
      <c r="F56" s="335">
        <v>0</v>
      </c>
    </row>
    <row r="57" spans="1:6">
      <c r="A57" s="1205" t="s">
        <v>49</v>
      </c>
      <c r="B57" s="1205" t="s">
        <v>50</v>
      </c>
      <c r="C57" s="335">
        <v>29</v>
      </c>
      <c r="D57" s="335">
        <v>1238837.0188331699</v>
      </c>
      <c r="E57" s="335">
        <v>62</v>
      </c>
      <c r="F57" s="335">
        <v>2307056.9210576001</v>
      </c>
    </row>
    <row r="58" spans="1:6">
      <c r="A58" s="1205" t="s">
        <v>49</v>
      </c>
      <c r="B58" s="1205" t="s">
        <v>51</v>
      </c>
      <c r="C58" s="335">
        <v>18</v>
      </c>
      <c r="D58" s="335">
        <v>2148093.9165735799</v>
      </c>
      <c r="E58" s="335">
        <v>35</v>
      </c>
      <c r="F58" s="335">
        <v>1448710.62966287</v>
      </c>
    </row>
    <row r="59" spans="1:6">
      <c r="A59" s="1205" t="s">
        <v>49</v>
      </c>
      <c r="B59" s="1205" t="s">
        <v>52</v>
      </c>
      <c r="C59" s="335">
        <v>90</v>
      </c>
      <c r="D59" s="335">
        <v>5049786.7788793202</v>
      </c>
      <c r="E59" s="335">
        <v>157</v>
      </c>
      <c r="F59" s="335">
        <v>6336143.2198104504</v>
      </c>
    </row>
    <row r="60" spans="1:6">
      <c r="A60" s="1205" t="s">
        <v>49</v>
      </c>
      <c r="B60" s="1205" t="s">
        <v>53</v>
      </c>
      <c r="C60" s="335">
        <v>41</v>
      </c>
      <c r="D60" s="335">
        <v>2266985.41634792</v>
      </c>
      <c r="E60" s="335">
        <v>113</v>
      </c>
      <c r="F60" s="335">
        <v>2449022.5643725898</v>
      </c>
    </row>
    <row r="61" spans="1:6">
      <c r="A61" s="1205" t="s">
        <v>49</v>
      </c>
      <c r="B61" s="1205" t="s">
        <v>54</v>
      </c>
      <c r="C61" s="335">
        <v>142</v>
      </c>
      <c r="D61" s="335">
        <v>13776839.2851029</v>
      </c>
      <c r="E61" s="335">
        <v>218</v>
      </c>
      <c r="F61" s="335">
        <v>11003799.161994601</v>
      </c>
    </row>
    <row r="62" spans="1:6">
      <c r="A62" s="1205" t="s">
        <v>49</v>
      </c>
      <c r="B62" s="1205" t="s">
        <v>55</v>
      </c>
      <c r="C62" s="335">
        <v>19</v>
      </c>
      <c r="D62" s="335">
        <v>1926472.88078936</v>
      </c>
      <c r="E62" s="335">
        <v>20</v>
      </c>
      <c r="F62" s="335">
        <v>434056.99093332601</v>
      </c>
    </row>
    <row r="63" spans="1:6">
      <c r="A63" s="1205" t="s">
        <v>49</v>
      </c>
      <c r="B63" s="1205" t="s">
        <v>29</v>
      </c>
      <c r="C63" s="335">
        <v>99</v>
      </c>
      <c r="D63" s="335">
        <v>7664227.5375645198</v>
      </c>
      <c r="E63" s="335">
        <v>115</v>
      </c>
      <c r="F63" s="335">
        <v>8639625.8385029193</v>
      </c>
    </row>
    <row r="64" spans="1:6">
      <c r="A64" s="1205" t="s">
        <v>56</v>
      </c>
      <c r="B64" s="1205" t="s">
        <v>57</v>
      </c>
      <c r="C64" s="335">
        <v>0</v>
      </c>
      <c r="D64" s="335">
        <v>0</v>
      </c>
      <c r="E64" s="335">
        <v>0</v>
      </c>
      <c r="F64" s="335">
        <v>0</v>
      </c>
    </row>
    <row r="65" spans="1:6">
      <c r="A65" s="1205" t="s">
        <v>56</v>
      </c>
      <c r="B65" s="1205" t="s">
        <v>29</v>
      </c>
      <c r="C65" s="335">
        <v>0</v>
      </c>
      <c r="D65" s="335">
        <v>0</v>
      </c>
      <c r="E65" s="335">
        <v>1</v>
      </c>
      <c r="F65" s="335">
        <v>466</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12</v>
      </c>
      <c r="D68" s="335">
        <v>4213480.9306717599</v>
      </c>
      <c r="E68" s="335">
        <v>37</v>
      </c>
      <c r="F68" s="335">
        <v>1893921.5382890501</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250388346</v>
      </c>
      <c r="E73" s="335">
        <v>262990277.49462846</v>
      </c>
    </row>
    <row r="74" spans="1:6">
      <c r="A74" s="1205" t="s">
        <v>64</v>
      </c>
      <c r="B74" s="1205" t="s">
        <v>772</v>
      </c>
      <c r="C74" s="1216" t="s">
        <v>766</v>
      </c>
      <c r="D74" s="335">
        <v>36511875.734926827</v>
      </c>
      <c r="E74" s="335">
        <v>38390959.838018499</v>
      </c>
    </row>
    <row r="75" spans="1:6">
      <c r="A75" s="1205" t="s">
        <v>65</v>
      </c>
      <c r="B75" s="1205" t="s">
        <v>771</v>
      </c>
      <c r="C75" s="1216" t="s">
        <v>767</v>
      </c>
      <c r="D75" s="335">
        <v>64626025</v>
      </c>
      <c r="E75" s="335">
        <v>66654712.916097566</v>
      </c>
    </row>
    <row r="76" spans="1:6">
      <c r="A76" s="1205" t="s">
        <v>65</v>
      </c>
      <c r="B76" s="1205" t="s">
        <v>772</v>
      </c>
      <c r="C76" s="1216" t="s">
        <v>768</v>
      </c>
      <c r="D76" s="335">
        <v>8498037.7349268273</v>
      </c>
      <c r="E76" s="335">
        <v>9027822.8102678396</v>
      </c>
    </row>
    <row r="77" spans="1:6">
      <c r="A77" s="1205" t="s">
        <v>66</v>
      </c>
      <c r="B77" s="1205" t="s">
        <v>771</v>
      </c>
      <c r="C77" s="1216" t="s">
        <v>769</v>
      </c>
      <c r="D77" s="335">
        <v>68468844</v>
      </c>
      <c r="E77" s="335">
        <v>74617012.766985089</v>
      </c>
    </row>
    <row r="78" spans="1:6">
      <c r="A78" s="1201" t="s">
        <v>66</v>
      </c>
      <c r="B78" s="1201" t="s">
        <v>772</v>
      </c>
      <c r="C78" s="1201" t="s">
        <v>770</v>
      </c>
      <c r="D78" s="1201">
        <v>8531359</v>
      </c>
      <c r="E78" s="1201">
        <v>9950154.5829242356</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473100.5301463466</v>
      </c>
      <c r="C83" s="335">
        <v>445349.14576374175</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11422.726477954726</v>
      </c>
    </row>
    <row r="91" spans="1:6">
      <c r="A91" s="1205" t="s">
        <v>68</v>
      </c>
      <c r="B91" s="335">
        <v>2921.512648857647</v>
      </c>
    </row>
    <row r="92" spans="1:6">
      <c r="A92" s="1201" t="s">
        <v>69</v>
      </c>
      <c r="B92" s="338">
        <v>5188.2533936219315</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3477</v>
      </c>
    </row>
    <row r="98" spans="1:6">
      <c r="A98" s="1205" t="s">
        <v>72</v>
      </c>
      <c r="B98" s="335">
        <v>9</v>
      </c>
    </row>
    <row r="99" spans="1:6">
      <c r="A99" s="1205" t="s">
        <v>73</v>
      </c>
      <c r="B99" s="335">
        <v>46</v>
      </c>
    </row>
    <row r="100" spans="1:6">
      <c r="A100" s="1205" t="s">
        <v>74</v>
      </c>
      <c r="B100" s="335">
        <v>346</v>
      </c>
    </row>
    <row r="101" spans="1:6">
      <c r="A101" s="1205" t="s">
        <v>75</v>
      </c>
      <c r="B101" s="335">
        <v>50</v>
      </c>
    </row>
    <row r="102" spans="1:6">
      <c r="A102" s="1205" t="s">
        <v>76</v>
      </c>
      <c r="B102" s="335">
        <v>70</v>
      </c>
    </row>
    <row r="103" spans="1:6">
      <c r="A103" s="1205" t="s">
        <v>77</v>
      </c>
      <c r="B103" s="335">
        <v>102</v>
      </c>
    </row>
    <row r="104" spans="1:6">
      <c r="A104" s="1205" t="s">
        <v>78</v>
      </c>
      <c r="B104" s="335">
        <v>1915</v>
      </c>
    </row>
    <row r="105" spans="1:6">
      <c r="A105" s="1201" t="s">
        <v>79</v>
      </c>
      <c r="B105" s="1201">
        <v>3</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5</v>
      </c>
      <c r="C123" s="335">
        <v>10</v>
      </c>
    </row>
    <row r="124" spans="1:6">
      <c r="A124" s="1201" t="s">
        <v>89</v>
      </c>
      <c r="B124" s="335">
        <v>0</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65</v>
      </c>
    </row>
    <row r="130" spans="1:6">
      <c r="A130" s="1205" t="s">
        <v>295</v>
      </c>
      <c r="B130" s="335">
        <v>0</v>
      </c>
    </row>
    <row r="131" spans="1:6">
      <c r="A131" s="1205" t="s">
        <v>296</v>
      </c>
      <c r="B131" s="335">
        <v>0</v>
      </c>
    </row>
    <row r="132" spans="1:6">
      <c r="A132" s="1201" t="s">
        <v>297</v>
      </c>
      <c r="B132" s="338">
        <v>6</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187306.3768366625</v>
      </c>
      <c r="C3" s="44" t="s">
        <v>170</v>
      </c>
      <c r="D3" s="44"/>
      <c r="E3" s="157"/>
      <c r="F3" s="44"/>
      <c r="G3" s="44"/>
      <c r="H3" s="44"/>
      <c r="I3" s="44"/>
      <c r="J3" s="44"/>
      <c r="K3" s="97"/>
    </row>
    <row r="4" spans="1:11">
      <c r="A4" s="365" t="s">
        <v>171</v>
      </c>
      <c r="B4" s="50">
        <f>IF(ISERROR('SEAP template'!B69),0,'SEAP template'!B69)</f>
        <v>33945.992520434302</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3425.3258823529409</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0.19923491899467954</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4893.3226890756296</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20590.714285714283</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0.23764705882352941</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1503.5809999999999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1503.5809999999999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0.19923491899467954</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299.56583873693927</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27107.667705039999</v>
      </c>
      <c r="C5" s="18">
        <f>IF(ISERROR('Eigen informatie GS &amp; warmtenet'!B57),0,'Eigen informatie GS &amp; warmtenet'!B57)</f>
        <v>0</v>
      </c>
      <c r="D5" s="31">
        <f>(SUM(HH_hh_gas_kWh,HH_rest_gas_kWh)/1000)*0.902</f>
        <v>82998.894486997058</v>
      </c>
      <c r="E5" s="18">
        <f>B46*B57</f>
        <v>2827.9719562480414</v>
      </c>
      <c r="F5" s="18">
        <f>B51*B62</f>
        <v>11170.800519505623</v>
      </c>
      <c r="G5" s="19"/>
      <c r="H5" s="18"/>
      <c r="I5" s="18"/>
      <c r="J5" s="18">
        <f>B50*B61+C50*C61</f>
        <v>0</v>
      </c>
      <c r="K5" s="18"/>
      <c r="L5" s="18"/>
      <c r="M5" s="18"/>
      <c r="N5" s="18">
        <f>B48*B59+C48*C59</f>
        <v>9982.5640547478761</v>
      </c>
      <c r="O5" s="18">
        <f>B69*B70*B71</f>
        <v>117.25</v>
      </c>
      <c r="P5" s="18">
        <f>B77*B78*B79/1000-B77*B78*B79/1000/B80</f>
        <v>209.73333333333335</v>
      </c>
    </row>
    <row r="6" spans="1:16">
      <c r="A6" s="17" t="s">
        <v>639</v>
      </c>
      <c r="B6" s="831">
        <f>kWh_PV_kleiner_dan_10kW</f>
        <v>2921.512648857647</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30029.180353897646</v>
      </c>
      <c r="C8" s="22">
        <f>C5</f>
        <v>0</v>
      </c>
      <c r="D8" s="22">
        <f>D5</f>
        <v>82998.894486997058</v>
      </c>
      <c r="E8" s="22">
        <f>E5</f>
        <v>2827.9719562480414</v>
      </c>
      <c r="F8" s="22">
        <f>F5</f>
        <v>11170.800519505623</v>
      </c>
      <c r="G8" s="22"/>
      <c r="H8" s="22"/>
      <c r="I8" s="22"/>
      <c r="J8" s="22">
        <f>J5</f>
        <v>0</v>
      </c>
      <c r="K8" s="22"/>
      <c r="L8" s="22">
        <f>L5</f>
        <v>0</v>
      </c>
      <c r="M8" s="22">
        <f>M5</f>
        <v>0</v>
      </c>
      <c r="N8" s="22">
        <f>N5</f>
        <v>9982.5640547478761</v>
      </c>
      <c r="O8" s="22">
        <f>O5</f>
        <v>117.25</v>
      </c>
      <c r="P8" s="22">
        <f>P5</f>
        <v>209.73333333333335</v>
      </c>
    </row>
    <row r="9" spans="1:16">
      <c r="B9" s="20"/>
      <c r="C9" s="20"/>
      <c r="D9" s="262"/>
      <c r="E9" s="20"/>
      <c r="F9" s="20"/>
      <c r="G9" s="20"/>
      <c r="H9" s="20"/>
      <c r="I9" s="20"/>
      <c r="J9" s="20"/>
      <c r="K9" s="20"/>
      <c r="L9" s="20"/>
      <c r="M9" s="20"/>
      <c r="N9" s="20"/>
      <c r="O9" s="20"/>
      <c r="P9" s="20"/>
    </row>
    <row r="10" spans="1:16">
      <c r="A10" s="25" t="s">
        <v>214</v>
      </c>
      <c r="B10" s="26">
        <f ca="1">'EF ele_warmte'!B12</f>
        <v>0.19923491899467954</v>
      </c>
      <c r="C10" s="26">
        <f ca="1">'EF ele_warmte'!B22</f>
        <v>0.23764705882352941</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5982.8613152854196</v>
      </c>
      <c r="C12" s="24">
        <f ca="1">C10*C8</f>
        <v>0</v>
      </c>
      <c r="D12" s="24">
        <f>D8*D10</f>
        <v>16765.776686373407</v>
      </c>
      <c r="E12" s="24">
        <f>E10*E8</f>
        <v>641.94963406830539</v>
      </c>
      <c r="F12" s="24">
        <f>F10*F8</f>
        <v>2982.6037387080014</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3477</v>
      </c>
      <c r="C18" s="169" t="s">
        <v>111</v>
      </c>
      <c r="D18" s="231"/>
      <c r="E18" s="16"/>
    </row>
    <row r="19" spans="1:7">
      <c r="A19" s="174" t="s">
        <v>72</v>
      </c>
      <c r="B19" s="38">
        <f>aantalw2001_ander</f>
        <v>9</v>
      </c>
      <c r="C19" s="169" t="s">
        <v>111</v>
      </c>
      <c r="D19" s="232"/>
      <c r="E19" s="16"/>
    </row>
    <row r="20" spans="1:7">
      <c r="A20" s="174" t="s">
        <v>73</v>
      </c>
      <c r="B20" s="38">
        <f>aantalw2001_propaan</f>
        <v>46</v>
      </c>
      <c r="C20" s="170">
        <f>IF(ISERROR(B20/SUM($B$20,$B$21,$B$22)*100),0,B20/SUM($B$20,$B$21,$B$22)*100)</f>
        <v>10.407239819004525</v>
      </c>
      <c r="D20" s="232"/>
      <c r="E20" s="16"/>
    </row>
    <row r="21" spans="1:7">
      <c r="A21" s="174" t="s">
        <v>74</v>
      </c>
      <c r="B21" s="38">
        <f>aantalw2001_elektriciteit</f>
        <v>346</v>
      </c>
      <c r="C21" s="170">
        <f>IF(ISERROR(B21/SUM($B$20,$B$21,$B$22)*100),0,B21/SUM($B$20,$B$21,$B$22)*100)</f>
        <v>78.280542986425345</v>
      </c>
      <c r="D21" s="232"/>
      <c r="E21" s="16"/>
    </row>
    <row r="22" spans="1:7">
      <c r="A22" s="174" t="s">
        <v>75</v>
      </c>
      <c r="B22" s="38">
        <f>aantalw2001_hout</f>
        <v>50</v>
      </c>
      <c r="C22" s="170">
        <f>IF(ISERROR(B22/SUM($B$20,$B$21,$B$22)*100),0,B22/SUM($B$20,$B$21,$B$22)*100)</f>
        <v>11.312217194570136</v>
      </c>
      <c r="D22" s="232"/>
      <c r="E22" s="16"/>
    </row>
    <row r="23" spans="1:7">
      <c r="A23" s="174" t="s">
        <v>76</v>
      </c>
      <c r="B23" s="38">
        <f>aantalw2001_niet_gespec</f>
        <v>70</v>
      </c>
      <c r="C23" s="169" t="s">
        <v>111</v>
      </c>
      <c r="D23" s="231"/>
      <c r="E23" s="16"/>
    </row>
    <row r="24" spans="1:7">
      <c r="A24" s="174" t="s">
        <v>77</v>
      </c>
      <c r="B24" s="38">
        <f>aantalw2001_steenkool</f>
        <v>102</v>
      </c>
      <c r="C24" s="169" t="s">
        <v>111</v>
      </c>
      <c r="D24" s="232"/>
      <c r="E24" s="16"/>
    </row>
    <row r="25" spans="1:7">
      <c r="A25" s="174" t="s">
        <v>78</v>
      </c>
      <c r="B25" s="38">
        <f>aantalw2001_stookolie</f>
        <v>1915</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6786</v>
      </c>
      <c r="C28" s="37"/>
      <c r="D28" s="231"/>
    </row>
    <row r="29" spans="1:7" s="16" customFormat="1">
      <c r="A29" s="233" t="s">
        <v>666</v>
      </c>
      <c r="B29" s="38">
        <f>SUM(HH_hh_gas_aantal,HH_rest_gas_aantal)</f>
        <v>4976</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4976</v>
      </c>
      <c r="C32" s="170">
        <f>IF(ISERROR(B32/SUM($B$32,$B$34,$B$35,$B$36,$B$38,$B$39)*100),0,B32/SUM($B$32,$B$34,$B$35,$B$36,$B$38,$B$39)*100)</f>
        <v>73.446494464944649</v>
      </c>
      <c r="D32" s="236"/>
      <c r="G32" s="16"/>
    </row>
    <row r="33" spans="1:7">
      <c r="A33" s="174" t="s">
        <v>72</v>
      </c>
      <c r="B33" s="35" t="s">
        <v>111</v>
      </c>
      <c r="C33" s="170"/>
      <c r="D33" s="236"/>
      <c r="G33" s="16"/>
    </row>
    <row r="34" spans="1:7">
      <c r="A34" s="174" t="s">
        <v>73</v>
      </c>
      <c r="B34" s="34">
        <f>IF((($B$28-$B$32-$B$39-$B$77-$B$38)*C20/100)&lt;0,0,($B$28-$B$32-$B$39-$B$77-$B$38)*C20/100)</f>
        <v>128.33167420814482</v>
      </c>
      <c r="C34" s="170">
        <f>IF(ISERROR(B34/SUM($B$32,$B$34,$B$35,$B$36,$B$38,$B$39)*100),0,B34/SUM($B$32,$B$34,$B$35,$B$36,$B$38,$B$39)*100)</f>
        <v>1.8941944532567498</v>
      </c>
      <c r="D34" s="236"/>
      <c r="G34" s="16"/>
    </row>
    <row r="35" spans="1:7">
      <c r="A35" s="174" t="s">
        <v>74</v>
      </c>
      <c r="B35" s="34">
        <f>IF((($B$28-$B$32-$B$39-$B$77-$B$38)*C21/100)&lt;0,0,($B$28-$B$32-$B$39-$B$77-$B$38)*C21/100)</f>
        <v>965.27737556561101</v>
      </c>
      <c r="C35" s="170">
        <f>IF(ISERROR(B35/SUM($B$32,$B$34,$B$35,$B$36,$B$38,$B$39)*100),0,B35/SUM($B$32,$B$34,$B$35,$B$36,$B$38,$B$39)*100)</f>
        <v>14.247636539713815</v>
      </c>
      <c r="D35" s="236"/>
      <c r="G35" s="16"/>
    </row>
    <row r="36" spans="1:7">
      <c r="A36" s="174" t="s">
        <v>75</v>
      </c>
      <c r="B36" s="34">
        <f>IF((($B$28-$B$32-$B$39-$B$77-$B$38)*C22/100)&lt;0,0,($B$28-$B$32-$B$39-$B$77-$B$38)*C22/100)</f>
        <v>139.49095022624437</v>
      </c>
      <c r="C36" s="170">
        <f>IF(ISERROR(B36/SUM($B$32,$B$34,$B$35,$B$36,$B$38,$B$39)*100),0,B36/SUM($B$32,$B$34,$B$35,$B$36,$B$38,$B$39)*100)</f>
        <v>2.058907014409511</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565.89999999999986</v>
      </c>
      <c r="C39" s="170">
        <f>IF(ISERROR(B39/SUM($B$32,$B$34,$B$35,$B$36,$B$38,$B$39)*100),0,B39/SUM($B$32,$B$34,$B$35,$B$36,$B$38,$B$39)*100)</f>
        <v>8.3527675276752742</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4976</v>
      </c>
      <c r="C44" s="35" t="s">
        <v>111</v>
      </c>
      <c r="D44" s="177"/>
    </row>
    <row r="45" spans="1:7">
      <c r="A45" s="174" t="s">
        <v>72</v>
      </c>
      <c r="B45" s="34" t="str">
        <f t="shared" si="0"/>
        <v>-</v>
      </c>
      <c r="C45" s="35" t="s">
        <v>111</v>
      </c>
      <c r="D45" s="177"/>
    </row>
    <row r="46" spans="1:7">
      <c r="A46" s="174" t="s">
        <v>73</v>
      </c>
      <c r="B46" s="34">
        <f t="shared" si="0"/>
        <v>128.33167420814482</v>
      </c>
      <c r="C46" s="35" t="s">
        <v>111</v>
      </c>
      <c r="D46" s="177"/>
    </row>
    <row r="47" spans="1:7">
      <c r="A47" s="174" t="s">
        <v>74</v>
      </c>
      <c r="B47" s="34">
        <f t="shared" si="0"/>
        <v>965.27737556561101</v>
      </c>
      <c r="C47" s="35" t="s">
        <v>111</v>
      </c>
      <c r="D47" s="177"/>
    </row>
    <row r="48" spans="1:7">
      <c r="A48" s="174" t="s">
        <v>75</v>
      </c>
      <c r="B48" s="34">
        <f t="shared" si="0"/>
        <v>139.49095022624437</v>
      </c>
      <c r="C48" s="34">
        <f>B48*10</f>
        <v>1394.9095022624438</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565.89999999999986</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75</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11</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32618.415326334354</v>
      </c>
      <c r="C5" s="18">
        <f>IF(ISERROR('Eigen informatie GS &amp; warmtenet'!B58),0,'Eigen informatie GS &amp; warmtenet'!B58)</f>
        <v>0</v>
      </c>
      <c r="D5" s="31">
        <f>SUM(D6:D12)</f>
        <v>30732.261036349875</v>
      </c>
      <c r="E5" s="18">
        <f>SUM(E6:E12)</f>
        <v>274.49348923074297</v>
      </c>
      <c r="F5" s="18">
        <f>SUM(F6:F12)</f>
        <v>6213.9537608416704</v>
      </c>
      <c r="G5" s="19"/>
      <c r="H5" s="18"/>
      <c r="I5" s="18"/>
      <c r="J5" s="18">
        <f>SUM(J6:J12)</f>
        <v>0</v>
      </c>
      <c r="K5" s="18"/>
      <c r="L5" s="18"/>
      <c r="M5" s="18"/>
      <c r="N5" s="18">
        <f>SUM(N6:N12)</f>
        <v>1947.0058263917203</v>
      </c>
      <c r="O5" s="18">
        <f>B38*B39*B40</f>
        <v>0</v>
      </c>
      <c r="P5" s="18">
        <f>B46*B47*B48/1000-B46*B47*B48/1000/B49</f>
        <v>0</v>
      </c>
      <c r="R5" s="33"/>
    </row>
    <row r="6" spans="1:18">
      <c r="A6" s="33" t="s">
        <v>54</v>
      </c>
      <c r="B6" s="38">
        <f>B26</f>
        <v>11003.799161994601</v>
      </c>
      <c r="C6" s="34"/>
      <c r="D6" s="38">
        <f>IF(ISERROR(TER_kantoor_gas_kWh/1000),0,TER_kantoor_gas_kWh/1000)*0.902</f>
        <v>12426.709035162816</v>
      </c>
      <c r="E6" s="34">
        <f>$C$26*'E Balans VL '!I12/100/3.6*1000000</f>
        <v>18.059464629170296</v>
      </c>
      <c r="F6" s="34">
        <f>$C$26*('E Balans VL '!L12+'E Balans VL '!N12)/100/3.6*1000000</f>
        <v>1297.089015864618</v>
      </c>
      <c r="G6" s="35"/>
      <c r="H6" s="34"/>
      <c r="I6" s="34"/>
      <c r="J6" s="34">
        <f>$C$26*('E Balans VL '!D12+'E Balans VL '!E12)/100/3.6*1000000</f>
        <v>0</v>
      </c>
      <c r="K6" s="34"/>
      <c r="L6" s="34"/>
      <c r="M6" s="34"/>
      <c r="N6" s="34">
        <f>$C$26*'E Balans VL '!Y12/100/3.6*1000000</f>
        <v>2.2232655134260915</v>
      </c>
      <c r="O6" s="34"/>
      <c r="P6" s="34"/>
      <c r="R6" s="33"/>
    </row>
    <row r="7" spans="1:18">
      <c r="A7" s="33" t="s">
        <v>53</v>
      </c>
      <c r="B7" s="38">
        <f t="shared" ref="B7:B12" si="0">B27</f>
        <v>2449.0225643725898</v>
      </c>
      <c r="C7" s="34"/>
      <c r="D7" s="38">
        <f>IF(ISERROR(TER_horeca_gas_kWh/1000),0,TER_horeca_gas_kWh/1000)*0.902</f>
        <v>2044.8208455458239</v>
      </c>
      <c r="E7" s="34">
        <f>$C$27*'E Balans VL '!I9/100/3.6*1000000</f>
        <v>127.08654958443546</v>
      </c>
      <c r="F7" s="34">
        <f>$C$27*('E Balans VL '!L9+'E Balans VL '!N9)/100/3.6*1000000</f>
        <v>558.86872620940494</v>
      </c>
      <c r="G7" s="35"/>
      <c r="H7" s="34"/>
      <c r="I7" s="34"/>
      <c r="J7" s="34">
        <f>$C$27*('E Balans VL '!D9+'E Balans VL '!E9)/100/3.6*1000000</f>
        <v>0</v>
      </c>
      <c r="K7" s="34"/>
      <c r="L7" s="34"/>
      <c r="M7" s="34"/>
      <c r="N7" s="34">
        <f>$C$27*'E Balans VL '!Y9/100/3.6*1000000</f>
        <v>0.25861566048419171</v>
      </c>
      <c r="O7" s="34"/>
      <c r="P7" s="34"/>
      <c r="R7" s="33"/>
    </row>
    <row r="8" spans="1:18">
      <c r="A8" s="6" t="s">
        <v>52</v>
      </c>
      <c r="B8" s="38">
        <f t="shared" si="0"/>
        <v>6336.1432198104503</v>
      </c>
      <c r="C8" s="34"/>
      <c r="D8" s="38">
        <f>IF(ISERROR(TER_handel_gas_kWh/1000),0,TER_handel_gas_kWh/1000)*0.902</f>
        <v>4554.9076745491466</v>
      </c>
      <c r="E8" s="34">
        <f>$C$28*'E Balans VL '!I13/100/3.6*1000000</f>
        <v>34.120909847195556</v>
      </c>
      <c r="F8" s="34">
        <f>$C$28*('E Balans VL '!L13+'E Balans VL '!N13)/100/3.6*1000000</f>
        <v>1292.1278957368827</v>
      </c>
      <c r="G8" s="35"/>
      <c r="H8" s="34"/>
      <c r="I8" s="34"/>
      <c r="J8" s="34">
        <f>$C$28*('E Balans VL '!D13+'E Balans VL '!E13)/100/3.6*1000000</f>
        <v>0</v>
      </c>
      <c r="K8" s="34"/>
      <c r="L8" s="34"/>
      <c r="M8" s="34"/>
      <c r="N8" s="34">
        <f>$C$28*'E Balans VL '!Y13/100/3.6*1000000</f>
        <v>31.506294210748443</v>
      </c>
      <c r="O8" s="34"/>
      <c r="P8" s="34"/>
      <c r="R8" s="33"/>
    </row>
    <row r="9" spans="1:18">
      <c r="A9" s="33" t="s">
        <v>51</v>
      </c>
      <c r="B9" s="38">
        <f t="shared" si="0"/>
        <v>1448.7106296628699</v>
      </c>
      <c r="C9" s="34"/>
      <c r="D9" s="38">
        <f>IF(ISERROR(TER_gezond_gas_kWh/1000),0,TER_gezond_gas_kWh/1000)*0.902</f>
        <v>1937.5807127493692</v>
      </c>
      <c r="E9" s="34">
        <f>$C$29*'E Balans VL '!I10/100/3.6*1000000</f>
        <v>1.4356887086650025</v>
      </c>
      <c r="F9" s="34">
        <f>$C$29*('E Balans VL '!L10+'E Balans VL '!N10)/100/3.6*1000000</f>
        <v>502.66083101111479</v>
      </c>
      <c r="G9" s="35"/>
      <c r="H9" s="34"/>
      <c r="I9" s="34"/>
      <c r="J9" s="34">
        <f>$C$29*('E Balans VL '!D10+'E Balans VL '!E10)/100/3.6*1000000</f>
        <v>0</v>
      </c>
      <c r="K9" s="34"/>
      <c r="L9" s="34"/>
      <c r="M9" s="34"/>
      <c r="N9" s="34">
        <f>$C$29*'E Balans VL '!Y10/100/3.6*1000000</f>
        <v>12.483413994604794</v>
      </c>
      <c r="O9" s="34"/>
      <c r="P9" s="34"/>
      <c r="R9" s="33"/>
    </row>
    <row r="10" spans="1:18">
      <c r="A10" s="33" t="s">
        <v>50</v>
      </c>
      <c r="B10" s="38">
        <f t="shared" si="0"/>
        <v>2307.0569210576</v>
      </c>
      <c r="C10" s="34"/>
      <c r="D10" s="38">
        <f>IF(ISERROR(TER_ander_gas_kWh/1000),0,TER_ander_gas_kWh/1000)*0.902</f>
        <v>1117.4309909875192</v>
      </c>
      <c r="E10" s="34">
        <f>$C$30*'E Balans VL '!I14/100/3.6*1000000</f>
        <v>18.874031353434006</v>
      </c>
      <c r="F10" s="34">
        <f>$C$30*('E Balans VL '!L14+'E Balans VL '!N14)/100/3.6*1000000</f>
        <v>674.48951953997528</v>
      </c>
      <c r="G10" s="35"/>
      <c r="H10" s="34"/>
      <c r="I10" s="34"/>
      <c r="J10" s="34">
        <f>$C$30*('E Balans VL '!D14+'E Balans VL '!E14)/100/3.6*1000000</f>
        <v>0</v>
      </c>
      <c r="K10" s="34"/>
      <c r="L10" s="34"/>
      <c r="M10" s="34"/>
      <c r="N10" s="34">
        <f>$C$30*'E Balans VL '!Y14/100/3.6*1000000</f>
        <v>1330.8691320047615</v>
      </c>
      <c r="O10" s="34"/>
      <c r="P10" s="34"/>
      <c r="R10" s="33"/>
    </row>
    <row r="11" spans="1:18">
      <c r="A11" s="33" t="s">
        <v>55</v>
      </c>
      <c r="B11" s="38">
        <f t="shared" si="0"/>
        <v>434.05699093332601</v>
      </c>
      <c r="C11" s="34"/>
      <c r="D11" s="38">
        <f>IF(ISERROR(TER_onderwijs_gas_kWh/1000),0,TER_onderwijs_gas_kWh/1000)*0.902</f>
        <v>1737.6785384720029</v>
      </c>
      <c r="E11" s="34">
        <f>$C$31*'E Balans VL '!I11/100/3.6*1000000</f>
        <v>0.26753441452853971</v>
      </c>
      <c r="F11" s="34">
        <f>$C$31*('E Balans VL '!L11+'E Balans VL '!N11)/100/3.6*1000000</f>
        <v>167.81346210425573</v>
      </c>
      <c r="G11" s="35"/>
      <c r="H11" s="34"/>
      <c r="I11" s="34"/>
      <c r="J11" s="34">
        <f>$C$31*('E Balans VL '!D11+'E Balans VL '!E11)/100/3.6*1000000</f>
        <v>0</v>
      </c>
      <c r="K11" s="34"/>
      <c r="L11" s="34"/>
      <c r="M11" s="34"/>
      <c r="N11" s="34">
        <f>$C$31*'E Balans VL '!Y11/100/3.6*1000000</f>
        <v>1.4118943750789874</v>
      </c>
      <c r="O11" s="34"/>
      <c r="P11" s="34"/>
      <c r="R11" s="33"/>
    </row>
    <row r="12" spans="1:18">
      <c r="A12" s="33" t="s">
        <v>260</v>
      </c>
      <c r="B12" s="38">
        <f t="shared" si="0"/>
        <v>8639.6258385029196</v>
      </c>
      <c r="C12" s="34"/>
      <c r="D12" s="38">
        <f>IF(ISERROR(TER_rest_gas_kWh/1000),0,TER_rest_gas_kWh/1000)*0.902</f>
        <v>6913.133238883197</v>
      </c>
      <c r="E12" s="34">
        <f>$C$32*'E Balans VL '!I8/100/3.6*1000000</f>
        <v>74.649310693314121</v>
      </c>
      <c r="F12" s="34">
        <f>$C$32*('E Balans VL '!L8+'E Balans VL '!N8)/100/3.6*1000000</f>
        <v>1720.9043103754188</v>
      </c>
      <c r="G12" s="35"/>
      <c r="H12" s="34"/>
      <c r="I12" s="34"/>
      <c r="J12" s="34">
        <f>$C$32*('E Balans VL '!D8+'E Balans VL '!E8)/100/3.6*1000000</f>
        <v>0</v>
      </c>
      <c r="K12" s="34"/>
      <c r="L12" s="34"/>
      <c r="M12" s="34"/>
      <c r="N12" s="34">
        <f>$C$32*'E Balans VL '!Y8/100/3.6*1000000</f>
        <v>568.25321063261606</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32618.415326334354</v>
      </c>
      <c r="C16" s="22">
        <f t="shared" ca="1" si="1"/>
        <v>0</v>
      </c>
      <c r="D16" s="22">
        <f t="shared" ca="1" si="1"/>
        <v>30732.261036349875</v>
      </c>
      <c r="E16" s="22">
        <f t="shared" si="1"/>
        <v>274.49348923074297</v>
      </c>
      <c r="F16" s="22">
        <f t="shared" ca="1" si="1"/>
        <v>6213.9537608416704</v>
      </c>
      <c r="G16" s="22">
        <f t="shared" si="1"/>
        <v>0</v>
      </c>
      <c r="H16" s="22">
        <f t="shared" si="1"/>
        <v>0</v>
      </c>
      <c r="I16" s="22">
        <f t="shared" si="1"/>
        <v>0</v>
      </c>
      <c r="J16" s="22">
        <f t="shared" si="1"/>
        <v>0</v>
      </c>
      <c r="K16" s="22">
        <f t="shared" si="1"/>
        <v>0</v>
      </c>
      <c r="L16" s="22">
        <f t="shared" ca="1" si="1"/>
        <v>0</v>
      </c>
      <c r="M16" s="22">
        <f t="shared" si="1"/>
        <v>0</v>
      </c>
      <c r="N16" s="22">
        <f t="shared" ca="1" si="1"/>
        <v>1947.0058263917203</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0.19923491899467954</v>
      </c>
      <c r="C18" s="26">
        <f ca="1">'EF ele_warmte'!B22</f>
        <v>0.23764705882352941</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6498.7273352770389</v>
      </c>
      <c r="C20" s="24">
        <f t="shared" ref="C20:P20" ca="1" si="2">C16*C18</f>
        <v>0</v>
      </c>
      <c r="D20" s="24">
        <f t="shared" ca="1" si="2"/>
        <v>6207.9167293426754</v>
      </c>
      <c r="E20" s="24">
        <f t="shared" si="2"/>
        <v>62.310022055378653</v>
      </c>
      <c r="F20" s="24">
        <f t="shared" ca="1" si="2"/>
        <v>1659.125654144726</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11003.799161994601</v>
      </c>
      <c r="C26" s="40">
        <f>IF(ISERROR(B26*3.6/1000000/'E Balans VL '!Z12*100),0,B26*3.6/1000000/'E Balans VL '!Z12*100)</f>
        <v>0.23382284102640757</v>
      </c>
      <c r="D26" s="240" t="s">
        <v>707</v>
      </c>
      <c r="F26" s="6"/>
    </row>
    <row r="27" spans="1:18">
      <c r="A27" s="234" t="s">
        <v>53</v>
      </c>
      <c r="B27" s="34">
        <f>IF(ISERROR(TER_horeca_ele_kWh/1000),0,TER_horeca_ele_kWh/1000)</f>
        <v>2449.0225643725898</v>
      </c>
      <c r="C27" s="40">
        <f>IF(ISERROR(B27*3.6/1000000/'E Balans VL '!Z9*100),0,B27*3.6/1000000/'E Balans VL '!Z9*100)</f>
        <v>0.19275701402548454</v>
      </c>
      <c r="D27" s="240" t="s">
        <v>707</v>
      </c>
      <c r="F27" s="6"/>
    </row>
    <row r="28" spans="1:18">
      <c r="A28" s="174" t="s">
        <v>52</v>
      </c>
      <c r="B28" s="34">
        <f>IF(ISERROR(TER_handel_ele_kWh/1000),0,TER_handel_ele_kWh/1000)</f>
        <v>6336.1432198104503</v>
      </c>
      <c r="C28" s="40">
        <f>IF(ISERROR(B28*3.6/1000000/'E Balans VL '!Z13*100),0,B28*3.6/1000000/'E Balans VL '!Z13*100)</f>
        <v>0.17747876255686745</v>
      </c>
      <c r="D28" s="240" t="s">
        <v>707</v>
      </c>
      <c r="F28" s="6"/>
    </row>
    <row r="29" spans="1:18">
      <c r="A29" s="234" t="s">
        <v>51</v>
      </c>
      <c r="B29" s="34">
        <f>IF(ISERROR(TER_gezond_ele_kWh/1000),0,TER_gezond_ele_kWh/1000)</f>
        <v>1448.7106296628699</v>
      </c>
      <c r="C29" s="40">
        <f>IF(ISERROR(B29*3.6/1000000/'E Balans VL '!Z10*100),0,B29*3.6/1000000/'E Balans VL '!Z10*100)</f>
        <v>0.18533389677901194</v>
      </c>
      <c r="D29" s="240" t="s">
        <v>707</v>
      </c>
      <c r="F29" s="6"/>
    </row>
    <row r="30" spans="1:18">
      <c r="A30" s="234" t="s">
        <v>50</v>
      </c>
      <c r="B30" s="34">
        <f>IF(ISERROR(TER_ander_ele_kWh/1000),0,TER_ander_ele_kWh/1000)</f>
        <v>2307.0569210576</v>
      </c>
      <c r="C30" s="40">
        <f>IF(ISERROR(B30*3.6/1000000/'E Balans VL '!Z14*100),0,B30*3.6/1000000/'E Balans VL '!Z14*100)</f>
        <v>0.17254841809390317</v>
      </c>
      <c r="D30" s="240" t="s">
        <v>707</v>
      </c>
      <c r="F30" s="6"/>
    </row>
    <row r="31" spans="1:18">
      <c r="A31" s="234" t="s">
        <v>55</v>
      </c>
      <c r="B31" s="34">
        <f>IF(ISERROR(TER_onderwijs_ele_kWh/1000),0,TER_onderwijs_ele_kWh/1000)</f>
        <v>434.05699093332601</v>
      </c>
      <c r="C31" s="40">
        <f>IF(ISERROR(B31*3.6/1000000/'E Balans VL '!Z11*100),0,B31*3.6/1000000/'E Balans VL '!Z11*100)</f>
        <v>9.1651695883089079E-2</v>
      </c>
      <c r="D31" s="240" t="s">
        <v>707</v>
      </c>
    </row>
    <row r="32" spans="1:18">
      <c r="A32" s="234" t="s">
        <v>260</v>
      </c>
      <c r="B32" s="34">
        <f>IF(ISERROR(TER_rest_ele_kWh/1000),0,TER_rest_ele_kWh/1000)</f>
        <v>8639.6258385029196</v>
      </c>
      <c r="C32" s="40">
        <f>IF(ISERROR(B32*3.6/1000000/'E Balans VL '!Z8*100),0,B32*3.6/1000000/'E Balans VL '!Z8*100)</f>
        <v>7.1172650728404271E-2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107815.72978784391</v>
      </c>
      <c r="C5" s="18">
        <f>IF(ISERROR('Eigen informatie GS &amp; warmtenet'!B59),0,'Eigen informatie GS &amp; warmtenet'!B59)</f>
        <v>0</v>
      </c>
      <c r="D5" s="31">
        <f>SUM(D6:D15)</f>
        <v>144815.31156914149</v>
      </c>
      <c r="E5" s="18">
        <f>SUM(E6:E15)</f>
        <v>890.03139765042533</v>
      </c>
      <c r="F5" s="18">
        <f>SUM(F6:F15)</f>
        <v>20443.500395477949</v>
      </c>
      <c r="G5" s="19"/>
      <c r="H5" s="18"/>
      <c r="I5" s="18"/>
      <c r="J5" s="18">
        <f>SUM(J6:J15)</f>
        <v>217.16854321315179</v>
      </c>
      <c r="K5" s="18"/>
      <c r="L5" s="18"/>
      <c r="M5" s="18"/>
      <c r="N5" s="18">
        <f>SUM(N6:N15)</f>
        <v>2461.1835907258073</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152.414582090317</v>
      </c>
      <c r="C8" s="34"/>
      <c r="D8" s="38">
        <f>IF( ISERROR(IND_metaal_Gas_kWH/1000),0,IND_metaal_Gas_kWH/1000)*0.902</f>
        <v>218.20191185193823</v>
      </c>
      <c r="E8" s="34">
        <f>C30*'E Balans VL '!I18/100/3.6*1000000</f>
        <v>1.3880121321058287</v>
      </c>
      <c r="F8" s="34">
        <f>C30*'E Balans VL '!L18/100/3.6*1000000+C30*'E Balans VL '!N18/100/3.6*1000000</f>
        <v>20.10232592149649</v>
      </c>
      <c r="G8" s="35"/>
      <c r="H8" s="34"/>
      <c r="I8" s="34"/>
      <c r="J8" s="41">
        <f>C30*'E Balans VL '!D18/100/3.6*1000000+C30*'E Balans VL '!E18/100/3.6*1000000</f>
        <v>2.4993778482767071</v>
      </c>
      <c r="K8" s="34"/>
      <c r="L8" s="34"/>
      <c r="M8" s="34"/>
      <c r="N8" s="34">
        <f>C30*'E Balans VL '!Y18/100/3.6*1000000</f>
        <v>0.52378837210699791</v>
      </c>
      <c r="O8" s="34"/>
      <c r="P8" s="34"/>
      <c r="R8" s="33"/>
    </row>
    <row r="9" spans="1:18">
      <c r="A9" s="6" t="s">
        <v>33</v>
      </c>
      <c r="B9" s="38">
        <f t="shared" si="0"/>
        <v>12127.6789800438</v>
      </c>
      <c r="C9" s="34"/>
      <c r="D9" s="38">
        <f>IF( ISERROR(IND_andere_gas_kWh/1000),0,IND_andere_gas_kWh/1000)*0.902</f>
        <v>1641.2485555960222</v>
      </c>
      <c r="E9" s="34">
        <f>C31*'E Balans VL '!I19/100/3.6*1000000</f>
        <v>70.099796836373358</v>
      </c>
      <c r="F9" s="34">
        <f>C31*'E Balans VL '!L19/100/3.6*1000000+C31*'E Balans VL '!N19/100/3.6*1000000</f>
        <v>9648.1521894450088</v>
      </c>
      <c r="G9" s="35"/>
      <c r="H9" s="34"/>
      <c r="I9" s="34"/>
      <c r="J9" s="41">
        <f>C31*'E Balans VL '!D19/100/3.6*1000000+C31*'E Balans VL '!E19/100/3.6*1000000</f>
        <v>1.1471437210695445</v>
      </c>
      <c r="K9" s="34"/>
      <c r="L9" s="34"/>
      <c r="M9" s="34"/>
      <c r="N9" s="34">
        <f>C31*'E Balans VL '!Y19/100/3.6*1000000</f>
        <v>918.85521463055795</v>
      </c>
      <c r="O9" s="34"/>
      <c r="P9" s="34"/>
      <c r="R9" s="33"/>
    </row>
    <row r="10" spans="1:18">
      <c r="A10" s="6" t="s">
        <v>41</v>
      </c>
      <c r="B10" s="38">
        <f t="shared" si="0"/>
        <v>15484.585088635899</v>
      </c>
      <c r="C10" s="34"/>
      <c r="D10" s="38">
        <f>IF( ISERROR(IND_voed_gas_kWh/1000),0,IND_voed_gas_kWh/1000)*0.902</f>
        <v>23913.46740100989</v>
      </c>
      <c r="E10" s="34">
        <f>C32*'E Balans VL '!I20/100/3.6*1000000</f>
        <v>152.25398143892824</v>
      </c>
      <c r="F10" s="34">
        <f>C32*'E Balans VL '!L20/100/3.6*1000000+C32*'E Balans VL '!N20/100/3.6*1000000</f>
        <v>1719.7652888757293</v>
      </c>
      <c r="G10" s="35"/>
      <c r="H10" s="34"/>
      <c r="I10" s="34"/>
      <c r="J10" s="41">
        <f>C32*'E Balans VL '!D20/100/3.6*1000000+C32*'E Balans VL '!E20/100/3.6*1000000</f>
        <v>6.103177941295837E-2</v>
      </c>
      <c r="K10" s="34"/>
      <c r="L10" s="34"/>
      <c r="M10" s="34"/>
      <c r="N10" s="34">
        <f>C32*'E Balans VL '!Y20/100/3.6*1000000</f>
        <v>229.29028157924199</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35.547187207780695</v>
      </c>
      <c r="C12" s="34"/>
      <c r="D12" s="38">
        <f>IF( ISERROR(IND_min_gas_kWh/1000),0,IND_min_gas_kWh/1000)*0.902</f>
        <v>108.43499547691503</v>
      </c>
      <c r="E12" s="34">
        <f>C34*'E Balans VL '!I22/100/3.6*1000000</f>
        <v>0.90118445176190909</v>
      </c>
      <c r="F12" s="34">
        <f>C34*'E Balans VL '!L22/100/3.6*1000000+C34*'E Balans VL '!N22/100/3.6*1000000</f>
        <v>9.8360306033230138</v>
      </c>
      <c r="G12" s="35"/>
      <c r="H12" s="34"/>
      <c r="I12" s="34"/>
      <c r="J12" s="41">
        <f>C34*'E Balans VL '!D22/100/3.6*1000000+C34*'E Balans VL '!E22/100/3.6*1000000</f>
        <v>0.23476076756043496</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37614.238430742706</v>
      </c>
      <c r="C14" s="34"/>
      <c r="D14" s="38">
        <f>IF( ISERROR(IND_chemie_gas_kWh/1000),0,IND_chemie_gas_kWh/1000)*0.902</f>
        <v>92371.836864785306</v>
      </c>
      <c r="E14" s="34">
        <f>C36*'E Balans VL '!I24/100/3.6*1000000</f>
        <v>284.38375512725946</v>
      </c>
      <c r="F14" s="34">
        <f>C36*'E Balans VL '!L24/100/3.6*1000000+C36*'E Balans VL '!N24/100/3.6*1000000</f>
        <v>695.96740733241074</v>
      </c>
      <c r="G14" s="35"/>
      <c r="H14" s="34"/>
      <c r="I14" s="34"/>
      <c r="J14" s="41">
        <f>C36*'E Balans VL '!D24/100/3.6*1000000+C36*'E Balans VL '!E24/100/3.6*1000000</f>
        <v>0</v>
      </c>
      <c r="K14" s="34"/>
      <c r="L14" s="34"/>
      <c r="M14" s="34"/>
      <c r="N14" s="34">
        <f>C36*'E Balans VL '!Y24/100/3.6*1000000</f>
        <v>10.90715921895489</v>
      </c>
      <c r="O14" s="34"/>
      <c r="P14" s="34"/>
      <c r="R14" s="33"/>
    </row>
    <row r="15" spans="1:18">
      <c r="A15" s="6" t="s">
        <v>270</v>
      </c>
      <c r="B15" s="38">
        <f t="shared" si="0"/>
        <v>42401.265519123401</v>
      </c>
      <c r="C15" s="34"/>
      <c r="D15" s="38">
        <f>IF( ISERROR(IND_rest_gas_kWh/1000),0,IND_rest_gas_kWh/1000)*0.902</f>
        <v>26562.121840421405</v>
      </c>
      <c r="E15" s="34">
        <f>C37*'E Balans VL '!I15/100/3.6*1000000</f>
        <v>381.0046676639966</v>
      </c>
      <c r="F15" s="34">
        <f>C37*'E Balans VL '!L15/100/3.6*1000000+C37*'E Balans VL '!N15/100/3.6*1000000</f>
        <v>8349.677153299981</v>
      </c>
      <c r="G15" s="35"/>
      <c r="H15" s="34"/>
      <c r="I15" s="34"/>
      <c r="J15" s="41">
        <f>C37*'E Balans VL '!D15/100/3.6*1000000+C37*'E Balans VL '!E15/100/3.6*1000000</f>
        <v>213.22622909683216</v>
      </c>
      <c r="K15" s="34"/>
      <c r="L15" s="34"/>
      <c r="M15" s="34"/>
      <c r="N15" s="34">
        <f>C37*'E Balans VL '!Y15/100/3.6*1000000</f>
        <v>1301.6071469249453</v>
      </c>
      <c r="O15" s="34"/>
      <c r="P15" s="34"/>
      <c r="R15" s="33"/>
    </row>
    <row r="16" spans="1:18">
      <c r="A16" s="17" t="s">
        <v>502</v>
      </c>
      <c r="B16" s="250">
        <f>'lokale energieproductie'!N89+'lokale energieproductie'!N58</f>
        <v>14413.499999999998</v>
      </c>
      <c r="C16" s="250">
        <f>'lokale energieproductie'!O89+'lokale energieproductie'!O58</f>
        <v>20590.714285714283</v>
      </c>
      <c r="D16" s="312">
        <f>('lokale energieproductie'!P58+'lokale energieproductie'!P89)*(-1)</f>
        <v>-41181.428571428565</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122229.22978784391</v>
      </c>
      <c r="C18" s="22">
        <f>C5+C16</f>
        <v>20590.714285714283</v>
      </c>
      <c r="D18" s="22">
        <f>MAX((D5+D16),0)</f>
        <v>103633.88299771292</v>
      </c>
      <c r="E18" s="22">
        <f>MAX((E5+E16),0)</f>
        <v>890.03139765042533</v>
      </c>
      <c r="F18" s="22">
        <f>MAX((F5+F16),0)</f>
        <v>20443.500395477949</v>
      </c>
      <c r="G18" s="22"/>
      <c r="H18" s="22"/>
      <c r="I18" s="22"/>
      <c r="J18" s="22">
        <f>MAX((J5+J16),0)</f>
        <v>217.16854321315179</v>
      </c>
      <c r="K18" s="22"/>
      <c r="L18" s="22">
        <f>MAX((L5+L16),0)</f>
        <v>0</v>
      </c>
      <c r="M18" s="22"/>
      <c r="N18" s="22">
        <f>MAX((N5+N16),0)</f>
        <v>2461.1835907258073</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0.19923491899467954</v>
      </c>
      <c r="C20" s="26">
        <f ca="1">'EF ele_warmte'!B22</f>
        <v>0.23764705882352941</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24352.330695563152</v>
      </c>
      <c r="C22" s="24">
        <f ca="1">C18*C20</f>
        <v>4893.3226890756296</v>
      </c>
      <c r="D22" s="24">
        <f>D18*D20</f>
        <v>20934.044365538011</v>
      </c>
      <c r="E22" s="24">
        <f>E18*E20</f>
        <v>202.03712726664656</v>
      </c>
      <c r="F22" s="24">
        <f>F18*F20</f>
        <v>5458.414605592613</v>
      </c>
      <c r="G22" s="24"/>
      <c r="H22" s="24"/>
      <c r="I22" s="24"/>
      <c r="J22" s="24">
        <f>J18*J20</f>
        <v>76.877664297455738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152.414582090317</v>
      </c>
      <c r="C30" s="40">
        <f>IF(ISERROR(B30*3.6/1000000/'E Balans VL '!Z18*100),0,B30*3.6/1000000/'E Balans VL '!Z18*100)</f>
        <v>8.4808523057600688E-3</v>
      </c>
      <c r="D30" s="240" t="s">
        <v>707</v>
      </c>
    </row>
    <row r="31" spans="1:18">
      <c r="A31" s="6" t="s">
        <v>33</v>
      </c>
      <c r="B31" s="38">
        <f>IF( ISERROR(IND_ander_ele_kWh/1000),0,IND_ander_ele_kWh/1000)</f>
        <v>12127.6789800438</v>
      </c>
      <c r="C31" s="40">
        <f>IF(ISERROR(B31*3.6/1000000/'E Balans VL '!Z19*100),0,B31*3.6/1000000/'E Balans VL '!Z19*100)</f>
        <v>0.5637839448259877</v>
      </c>
      <c r="D31" s="240" t="s">
        <v>707</v>
      </c>
    </row>
    <row r="32" spans="1:18">
      <c r="A32" s="174" t="s">
        <v>41</v>
      </c>
      <c r="B32" s="38">
        <f>IF( ISERROR(IND_voed_ele_kWh/1000),0,IND_voed_ele_kWh/1000)</f>
        <v>15484.585088635899</v>
      </c>
      <c r="C32" s="40">
        <f>IF(ISERROR(B32*3.6/1000000/'E Balans VL '!Z20*100),0,B32*3.6/1000000/'E Balans VL '!Z20*100)</f>
        <v>0.54734881043929073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35.547187207780695</v>
      </c>
      <c r="C34" s="40">
        <f>IF(ISERROR(B34*3.6/1000000/'E Balans VL '!Z22*100),0,B34*3.6/1000000/'E Balans VL '!Z22*100)</f>
        <v>7.1439822319497347E-3</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37614.238430742706</v>
      </c>
      <c r="C36" s="40">
        <f>IF(ISERROR(B36*3.6/1000000/'E Balans VL '!Z24*100),0,B36*3.6/1000000/'E Balans VL '!Z24*100)</f>
        <v>0.92625904086125732</v>
      </c>
      <c r="D36" s="240" t="s">
        <v>707</v>
      </c>
    </row>
    <row r="37" spans="1:5">
      <c r="A37" s="174" t="s">
        <v>270</v>
      </c>
      <c r="B37" s="38">
        <f>IF( ISERROR(IND_rest_ele_kWh/1000),0,IND_rest_ele_kWh/1000)</f>
        <v>42401.265519123401</v>
      </c>
      <c r="C37" s="40">
        <f>IF(ISERROR(B37*3.6/1000000/'E Balans VL '!Z15*100),0,B37*3.6/1000000/'E Balans VL '!Z15*100)</f>
        <v>0.32019219081007538</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917.90187074922801</v>
      </c>
      <c r="C5" s="18">
        <f>'Eigen informatie GS &amp; warmtenet'!B60</f>
        <v>0</v>
      </c>
      <c r="D5" s="31">
        <f>IF(ISERROR(SUM(LB_lb_gas_kWh,LB_rest_gas_kWh,onbekend_gas_kWh)/1000),0,SUM(LB_lb_gas_kWh,LB_rest_gas_kWh,onbekend_gas_kWh)/1000)*0.902</f>
        <v>3247.7366400407032</v>
      </c>
      <c r="E5" s="18">
        <f>B17*'E Balans VL '!I25/3.6*1000000/100</f>
        <v>8.6472506368855075</v>
      </c>
      <c r="F5" s="18">
        <f>B17*('E Balans VL '!L25/3.6*1000000+'E Balans VL '!N25/3.6*1000000)/100</f>
        <v>2995.4184291324823</v>
      </c>
      <c r="G5" s="19"/>
      <c r="H5" s="18"/>
      <c r="I5" s="18"/>
      <c r="J5" s="18">
        <f>('E Balans VL '!D25+'E Balans VL '!E25)/3.6*1000000*landbouw!B17/100</f>
        <v>113.54892608552122</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917.90187074922801</v>
      </c>
      <c r="C8" s="22">
        <f>C5+C6</f>
        <v>0</v>
      </c>
      <c r="D8" s="22">
        <f>MAX((D5+D6),0)</f>
        <v>3247.7366400407032</v>
      </c>
      <c r="E8" s="22">
        <f>MAX((E5+E6),0)</f>
        <v>8.6472506368855075</v>
      </c>
      <c r="F8" s="22">
        <f>MAX((F5+F6),0)</f>
        <v>2995.4184291324823</v>
      </c>
      <c r="G8" s="22"/>
      <c r="H8" s="22"/>
      <c r="I8" s="22"/>
      <c r="J8" s="22">
        <f>MAX((J5+J6),0)</f>
        <v>113.54892608552122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0.19923491899467954</v>
      </c>
      <c r="C10" s="32">
        <f ca="1">'EF ele_warmte'!B22</f>
        <v>0.23764705882352941</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182.87810486378726</v>
      </c>
      <c r="C12" s="24">
        <f ca="1">C8*C10</f>
        <v>0</v>
      </c>
      <c r="D12" s="24">
        <f>D8*D10</f>
        <v>656.04280128822211</v>
      </c>
      <c r="E12" s="24">
        <f>E8*E10</f>
        <v>1.9629258945730104</v>
      </c>
      <c r="F12" s="24">
        <f>F8*F10</f>
        <v>799.77672057837276</v>
      </c>
      <c r="G12" s="24"/>
      <c r="H12" s="24"/>
      <c r="I12" s="24"/>
      <c r="J12" s="24">
        <f>J8*J10</f>
        <v>40.196319834274512</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0.12426924569642972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93.023231662242836</v>
      </c>
      <c r="C26" s="250">
        <f>B26*'GWP N2O_CH4'!B5</f>
        <v>1953.4878649070995</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24.75949160340091</v>
      </c>
      <c r="C27" s="250">
        <f>B27*'GWP N2O_CH4'!B5</f>
        <v>519.94932367141917</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1.8806685692312595</v>
      </c>
      <c r="C28" s="250">
        <f>B28*'GWP N2O_CH4'!B4</f>
        <v>583.00725646169042</v>
      </c>
      <c r="D28" s="51"/>
    </row>
    <row r="29" spans="1:4">
      <c r="A29" s="42" t="s">
        <v>277</v>
      </c>
      <c r="B29" s="250">
        <f>B34*'ha_N2O bodem landbouw'!B4</f>
        <v>6.3426695822615375</v>
      </c>
      <c r="C29" s="250">
        <f>B29*'GWP N2O_CH4'!B4</f>
        <v>1966.2275705010766</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1.712321118279698E-3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2.90465922145565E-5</v>
      </c>
      <c r="C5" s="447" t="s">
        <v>211</v>
      </c>
      <c r="D5" s="432">
        <f>SUM(D6:D11)</f>
        <v>8.0867995002570635E-5</v>
      </c>
      <c r="E5" s="432">
        <f>SUM(E6:E11)</f>
        <v>4.8836389254476864E-3</v>
      </c>
      <c r="F5" s="445" t="s">
        <v>211</v>
      </c>
      <c r="G5" s="432">
        <f>SUM(G6:G11)</f>
        <v>1.2101573796161476</v>
      </c>
      <c r="H5" s="432">
        <f>SUM(H6:H11)</f>
        <v>0.18142888526844353</v>
      </c>
      <c r="I5" s="447" t="s">
        <v>211</v>
      </c>
      <c r="J5" s="447" t="s">
        <v>211</v>
      </c>
      <c r="K5" s="447" t="s">
        <v>211</v>
      </c>
      <c r="L5" s="447" t="s">
        <v>211</v>
      </c>
      <c r="M5" s="432">
        <f>SUM(M6:M11)</f>
        <v>6.2188015369740876E-2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1.8965440720891211E-5</v>
      </c>
      <c r="C6" s="433"/>
      <c r="D6" s="433">
        <f>vkm_2011_GW_PW*SUMIFS(TableVerdeelsleutelVkm[CNG],TableVerdeelsleutelVkm[Voertuigtype],"Lichte voertuigen")*SUMIFS(TableECFTransport[EnergieConsumptieFactor (PJ per km)],TableECFTransport[Index],CONCATENATE($A6,"_CNG_CNG"))</f>
        <v>4.6313923856670929E-5</v>
      </c>
      <c r="E6" s="435">
        <f>vkm_2011_GW_PW*SUMIFS(TableVerdeelsleutelVkm[LPG],TableVerdeelsleutelVkm[Voertuigtype],"Lichte voertuigen")*SUMIFS(TableECFTransport[EnergieConsumptieFactor (PJ per km)],TableECFTransport[Index],CONCATENATE($A6,"_LPG_LPG"))</f>
        <v>2.7452500623015717E-3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0.39685819018997798</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0.10400513012419042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2.2429581880047098E-2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0.33947064171041935</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1.369631690822777E-4</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1.5123312056718064E-2</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4.8950403073645184E-6</v>
      </c>
      <c r="C8" s="433"/>
      <c r="D8" s="435">
        <f>vkm_2011_NGW_PW*SUMIFS(TableVerdeelsleutelVkm[CNG],TableVerdeelsleutelVkm[Voertuigtype],"Lichte voertuigen")*SUMIFS(TableECFTransport[EnergieConsumptieFactor (PJ per km)],TableECFTransport[Index],CONCATENATE($A8,"_CNG_CNG"))</f>
        <v>2.1447095071249189E-5</v>
      </c>
      <c r="E8" s="435">
        <f>vkm_2011_NGW_PW*SUMIFS(TableVerdeelsleutelVkm[LPG],TableVerdeelsleutelVkm[Voertuigtype],"Lichte voertuigen")*SUMIFS(TableECFTransport[EnergieConsumptieFactor (PJ per km)],TableECFTransport[Index],CONCATENATE($A8,"_LPG_LPG"))</f>
        <v>1.1662654572713919E-3</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0.1592714194273637</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4.6120553537428062E-2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9.2020192447252597E-3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0.10953966505989512</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3.8480378227449446E-5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4.8796968119331876E-3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5.1861111863007703E-6</v>
      </c>
      <c r="C10" s="433"/>
      <c r="D10" s="435">
        <f>vkm_2011_SW_PW*SUMIFS(TableVerdeelsleutelVkm[CNG],TableVerdeelsleutelVkm[Voertuigtype],"Lichte voertuigen")*SUMIFS(TableECFTransport[EnergieConsumptieFactor (PJ per km)],TableECFTransport[Index],CONCATENATE($A10,"_CNG_CNG"))</f>
        <v>1.3106976074650521E-5</v>
      </c>
      <c r="E10" s="435">
        <f>vkm_2011_SW_PW*SUMIFS(TableVerdeelsleutelVkm[LPG],TableVerdeelsleutelVkm[Voertuigtype],"Lichte voertuigen")*SUMIFS(TableECFTransport[EnergieConsumptieFactor (PJ per km)],TableECFTransport[Index],CONCATENATE($A10,"_LPG_LPG"))</f>
        <v>9.7212340587472324E-4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0.12807182160531985</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3.1094821370306218E-2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7.1254143067476456E-3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7.6945641623171537E-2</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3.2936689209100053E-5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3.4279910695696196E-3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8.0684978373768068</v>
      </c>
      <c r="C14" s="22"/>
      <c r="D14" s="22">
        <f t="shared" ref="D14:M14" si="0">((D5)*10^9/3600)+D12</f>
        <v>22.463331945158508</v>
      </c>
      <c r="E14" s="22">
        <f t="shared" si="0"/>
        <v>1356.5663681799128</v>
      </c>
      <c r="F14" s="22"/>
      <c r="G14" s="22">
        <f t="shared" si="0"/>
        <v>336154.82767115207</v>
      </c>
      <c r="H14" s="22">
        <f t="shared" si="0"/>
        <v>50396.912574567643</v>
      </c>
      <c r="I14" s="22"/>
      <c r="J14" s="22"/>
      <c r="K14" s="22"/>
      <c r="L14" s="22"/>
      <c r="M14" s="22">
        <f t="shared" si="0"/>
        <v>17274.44871381691</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0.19923491899467954</v>
      </c>
      <c r="C16" s="57">
        <f ca="1">'EF ele_warmte'!B22</f>
        <v>0.23764705882352941</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1.6075265130385152</v>
      </c>
      <c r="C18" s="24"/>
      <c r="D18" s="24">
        <f t="shared" ref="D18:M18" si="1">D14*D16</f>
        <v>4.537593052922019</v>
      </c>
      <c r="E18" s="24">
        <f t="shared" si="1"/>
        <v>307.94056557684024</v>
      </c>
      <c r="F18" s="24"/>
      <c r="G18" s="24">
        <f t="shared" si="1"/>
        <v>89753.338988197604</v>
      </c>
      <c r="H18" s="24">
        <f t="shared" si="1"/>
        <v>12548.831231067343</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6.2010556242883983E-3</v>
      </c>
      <c r="H50" s="323">
        <f t="shared" si="2"/>
        <v>0</v>
      </c>
      <c r="I50" s="323">
        <f t="shared" si="2"/>
        <v>0</v>
      </c>
      <c r="J50" s="323">
        <f t="shared" si="2"/>
        <v>0</v>
      </c>
      <c r="K50" s="323">
        <f t="shared" si="2"/>
        <v>0</v>
      </c>
      <c r="L50" s="323">
        <f t="shared" si="2"/>
        <v>0</v>
      </c>
      <c r="M50" s="323">
        <f t="shared" si="2"/>
        <v>2.722985817436085E-4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6.2010556242883983E-3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2.722985817436085E-4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1722.5154511912219</v>
      </c>
      <c r="H54" s="22">
        <f t="shared" si="3"/>
        <v>0</v>
      </c>
      <c r="I54" s="22">
        <f t="shared" si="3"/>
        <v>0</v>
      </c>
      <c r="J54" s="22">
        <f t="shared" si="3"/>
        <v>0</v>
      </c>
      <c r="K54" s="22">
        <f t="shared" si="3"/>
        <v>0</v>
      </c>
      <c r="L54" s="22">
        <f t="shared" si="3"/>
        <v>0</v>
      </c>
      <c r="M54" s="22">
        <f t="shared" si="3"/>
        <v>75.638494928780148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0.19923491899467954</v>
      </c>
      <c r="C56" s="57">
        <f ca="1">'EF ele_warmte'!B22</f>
        <v>0.23764705882352941</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459.91162546805629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11422.726477954726</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8109.7660424795786</v>
      </c>
      <c r="C6" s="1135"/>
      <c r="D6" s="1138"/>
      <c r="E6" s="1138"/>
      <c r="F6" s="1141"/>
      <c r="G6" s="1144"/>
      <c r="H6" s="1132"/>
      <c r="I6" s="1138"/>
      <c r="J6" s="1138"/>
      <c r="K6" s="1138"/>
      <c r="L6" s="1168"/>
      <c r="M6" s="560"/>
      <c r="N6" s="1180"/>
      <c r="O6" s="1181"/>
      <c r="Q6" s="558"/>
      <c r="R6" s="1165"/>
      <c r="S6" s="1165"/>
    </row>
    <row r="7" spans="1:19" s="548" customFormat="1">
      <c r="A7" s="561" t="s">
        <v>252</v>
      </c>
      <c r="B7" s="562">
        <f>N57</f>
        <v>14413.499999999998</v>
      </c>
      <c r="C7" s="563">
        <f>B100</f>
        <v>16957.058823529409</v>
      </c>
      <c r="D7" s="564"/>
      <c r="E7" s="564">
        <f>E100</f>
        <v>0</v>
      </c>
      <c r="F7" s="565"/>
      <c r="G7" s="566"/>
      <c r="H7" s="564">
        <f>I100</f>
        <v>0</v>
      </c>
      <c r="I7" s="564">
        <f>G100+F100</f>
        <v>0</v>
      </c>
      <c r="J7" s="564">
        <f>H100+D100+C100</f>
        <v>0</v>
      </c>
      <c r="K7" s="564"/>
      <c r="L7" s="567"/>
      <c r="M7" s="568">
        <f>C7*$C$11+D7*$D$11+E7*$E$11+F7*$F$11+G7*$G$11+H7*$H$11+I7*$I$11+J7*$J$11</f>
        <v>3425.3258823529409</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33945.992520434302</v>
      </c>
      <c r="C9" s="579">
        <f t="shared" ref="C9:L9" si="0">SUM(C7:C8)</f>
        <v>16957.058823529409</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3425.3258823529409</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20590.714285714283</v>
      </c>
      <c r="C16" s="595">
        <f>B101</f>
        <v>24224.369747899153</v>
      </c>
      <c r="D16" s="596"/>
      <c r="E16" s="596">
        <f>E101</f>
        <v>0</v>
      </c>
      <c r="F16" s="597"/>
      <c r="G16" s="598"/>
      <c r="H16" s="595">
        <f>I101</f>
        <v>0</v>
      </c>
      <c r="I16" s="596">
        <f>G101+F101</f>
        <v>0</v>
      </c>
      <c r="J16" s="596">
        <f>H101+D101+C101</f>
        <v>0</v>
      </c>
      <c r="K16" s="596"/>
      <c r="L16" s="599"/>
      <c r="M16" s="600">
        <f>C16*$C$21+E16*$E$21+H16*$H$21+I16*$I$21+J16*$J$21+D16*$D$21+F16*$F$21+G16*$G$21+K16*$K$21+L16*$L$21</f>
        <v>4893.3226890756296</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20590.714285714283</v>
      </c>
      <c r="C19" s="578">
        <f>SUM(C16:C18)</f>
        <v>24224.369747899153</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4893.3226890756296</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25.5">
      <c r="A27" s="609"/>
      <c r="B27" s="840">
        <v>12030</v>
      </c>
      <c r="C27" s="840">
        <v>2870</v>
      </c>
      <c r="D27" s="657" t="s">
        <v>877</v>
      </c>
      <c r="E27" s="656" t="s">
        <v>878</v>
      </c>
      <c r="F27" s="656" t="s">
        <v>879</v>
      </c>
      <c r="G27" s="656" t="s">
        <v>880</v>
      </c>
      <c r="H27" s="656" t="s">
        <v>881</v>
      </c>
      <c r="I27" s="656" t="s">
        <v>878</v>
      </c>
      <c r="J27" s="839">
        <v>39510</v>
      </c>
      <c r="K27" s="839">
        <v>39513</v>
      </c>
      <c r="L27" s="656" t="s">
        <v>882</v>
      </c>
      <c r="M27" s="656">
        <v>2014</v>
      </c>
      <c r="N27" s="656">
        <v>9062.9999999999982</v>
      </c>
      <c r="O27" s="656">
        <v>12947.142857142855</v>
      </c>
      <c r="P27" s="656">
        <v>25894.28571428571</v>
      </c>
      <c r="Q27" s="656">
        <v>0</v>
      </c>
      <c r="R27" s="656">
        <v>0</v>
      </c>
      <c r="S27" s="656">
        <v>0</v>
      </c>
      <c r="T27" s="656">
        <v>0</v>
      </c>
      <c r="U27" s="656">
        <v>0</v>
      </c>
      <c r="V27" s="656">
        <v>0</v>
      </c>
      <c r="W27" s="656"/>
      <c r="X27" s="656">
        <v>300</v>
      </c>
      <c r="Y27" s="656" t="s">
        <v>34</v>
      </c>
      <c r="Z27" s="658" t="s">
        <v>391</v>
      </c>
    </row>
    <row r="28" spans="1:26" s="610" customFormat="1" ht="25.5">
      <c r="A28" s="609"/>
      <c r="B28" s="840">
        <v>12030</v>
      </c>
      <c r="C28" s="840">
        <v>2870</v>
      </c>
      <c r="D28" s="657" t="s">
        <v>883</v>
      </c>
      <c r="E28" s="656" t="s">
        <v>884</v>
      </c>
      <c r="F28" s="656" t="s">
        <v>885</v>
      </c>
      <c r="G28" s="656" t="s">
        <v>880</v>
      </c>
      <c r="H28" s="656" t="s">
        <v>881</v>
      </c>
      <c r="I28" s="656" t="s">
        <v>884</v>
      </c>
      <c r="J28" s="839">
        <v>40934</v>
      </c>
      <c r="K28" s="839">
        <v>40934</v>
      </c>
      <c r="L28" s="656" t="s">
        <v>882</v>
      </c>
      <c r="M28" s="656">
        <v>1189</v>
      </c>
      <c r="N28" s="656">
        <v>5350.5</v>
      </c>
      <c r="O28" s="656">
        <v>7643.5714285714284</v>
      </c>
      <c r="P28" s="656">
        <v>15287.142857142859</v>
      </c>
      <c r="Q28" s="656">
        <v>0</v>
      </c>
      <c r="R28" s="656">
        <v>0</v>
      </c>
      <c r="S28" s="656">
        <v>0</v>
      </c>
      <c r="T28" s="656">
        <v>0</v>
      </c>
      <c r="U28" s="656">
        <v>0</v>
      </c>
      <c r="V28" s="656">
        <v>0</v>
      </c>
      <c r="W28" s="656"/>
      <c r="X28" s="656">
        <v>300</v>
      </c>
      <c r="Y28" s="656" t="s">
        <v>886</v>
      </c>
      <c r="Z28" s="658" t="s">
        <v>391</v>
      </c>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3203</v>
      </c>
      <c r="N57" s="614">
        <f>SUM(N27:N56)</f>
        <v>14413.499999999998</v>
      </c>
      <c r="O57" s="614">
        <f t="shared" ref="O57:W57" si="2">SUM(O27:O56)</f>
        <v>20590.714285714283</v>
      </c>
      <c r="P57" s="614">
        <f t="shared" si="2"/>
        <v>41181.428571428565</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3203</v>
      </c>
      <c r="N58" s="614">
        <f t="shared" ref="N58:W58" si="3">SUMIF($Z$27:$Z$56,"industrie",N27:N56)</f>
        <v>14413.499999999998</v>
      </c>
      <c r="O58" s="614">
        <f t="shared" si="3"/>
        <v>20590.714285714283</v>
      </c>
      <c r="P58" s="614">
        <f t="shared" si="3"/>
        <v>41181.428571428565</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0.58823529411764697</v>
      </c>
      <c r="C97" s="639">
        <f>IF(ISERROR(N57/(O57+N57)),0,N57/(N57+O57))</f>
        <v>0.41176470588235292</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16957.058823529409</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24224.369747899153</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34121.996326334352</v>
      </c>
      <c r="D10" s="703">
        <f ca="1">tertiair!C16</f>
        <v>0</v>
      </c>
      <c r="E10" s="703">
        <f ca="1">tertiair!D16</f>
        <v>30732.261036349875</v>
      </c>
      <c r="F10" s="703">
        <f>tertiair!E16</f>
        <v>274.49348923074297</v>
      </c>
      <c r="G10" s="703">
        <f ca="1">tertiair!F16</f>
        <v>6213.9537608416704</v>
      </c>
      <c r="H10" s="703">
        <f>tertiair!G16</f>
        <v>0</v>
      </c>
      <c r="I10" s="703">
        <f>tertiair!H16</f>
        <v>0</v>
      </c>
      <c r="J10" s="703">
        <f>tertiair!I16</f>
        <v>0</v>
      </c>
      <c r="K10" s="703">
        <f>tertiair!J16</f>
        <v>0</v>
      </c>
      <c r="L10" s="703">
        <f>tertiair!K16</f>
        <v>0</v>
      </c>
      <c r="M10" s="703">
        <f ca="1">tertiair!L16</f>
        <v>0</v>
      </c>
      <c r="N10" s="703">
        <f>tertiair!M16</f>
        <v>0</v>
      </c>
      <c r="O10" s="703">
        <f ca="1">tertiair!N16</f>
        <v>1947.0058263917203</v>
      </c>
      <c r="P10" s="703">
        <f>tertiair!O16</f>
        <v>0</v>
      </c>
      <c r="Q10" s="704">
        <f>tertiair!P16</f>
        <v>0</v>
      </c>
      <c r="R10" s="706">
        <f ca="1">SUM(C10:Q10)</f>
        <v>73289.710439148359</v>
      </c>
      <c r="S10" s="68"/>
    </row>
    <row r="11" spans="1:19" s="458" customFormat="1">
      <c r="A11" s="859" t="s">
        <v>225</v>
      </c>
      <c r="B11" s="864"/>
      <c r="C11" s="703">
        <f>huishoudens!B8</f>
        <v>30029.180353897646</v>
      </c>
      <c r="D11" s="703">
        <f>huishoudens!C8</f>
        <v>0</v>
      </c>
      <c r="E11" s="703">
        <f>huishoudens!D8</f>
        <v>82998.894486997058</v>
      </c>
      <c r="F11" s="703">
        <f>huishoudens!E8</f>
        <v>2827.9719562480414</v>
      </c>
      <c r="G11" s="703">
        <f>huishoudens!F8</f>
        <v>11170.800519505623</v>
      </c>
      <c r="H11" s="703">
        <f>huishoudens!G8</f>
        <v>0</v>
      </c>
      <c r="I11" s="703">
        <f>huishoudens!H8</f>
        <v>0</v>
      </c>
      <c r="J11" s="703">
        <f>huishoudens!I8</f>
        <v>0</v>
      </c>
      <c r="K11" s="703">
        <f>huishoudens!J8</f>
        <v>0</v>
      </c>
      <c r="L11" s="703">
        <f>huishoudens!K8</f>
        <v>0</v>
      </c>
      <c r="M11" s="703">
        <f>huishoudens!L8</f>
        <v>0</v>
      </c>
      <c r="N11" s="703">
        <f>huishoudens!M8</f>
        <v>0</v>
      </c>
      <c r="O11" s="703">
        <f>huishoudens!N8</f>
        <v>9982.5640547478761</v>
      </c>
      <c r="P11" s="703">
        <f>huishoudens!O8</f>
        <v>117.25</v>
      </c>
      <c r="Q11" s="704">
        <f>huishoudens!P8</f>
        <v>209.73333333333335</v>
      </c>
      <c r="R11" s="706">
        <f>SUM(C11:Q11)</f>
        <v>137336.39470472958</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122229.22978784391</v>
      </c>
      <c r="D13" s="703">
        <f>industrie!C18</f>
        <v>20590.714285714283</v>
      </c>
      <c r="E13" s="703">
        <f>industrie!D18</f>
        <v>103633.88299771292</v>
      </c>
      <c r="F13" s="703">
        <f>industrie!E18</f>
        <v>890.03139765042533</v>
      </c>
      <c r="G13" s="703">
        <f>industrie!F18</f>
        <v>20443.500395477949</v>
      </c>
      <c r="H13" s="703">
        <f>industrie!G18</f>
        <v>0</v>
      </c>
      <c r="I13" s="703">
        <f>industrie!H18</f>
        <v>0</v>
      </c>
      <c r="J13" s="703">
        <f>industrie!I18</f>
        <v>0</v>
      </c>
      <c r="K13" s="703">
        <f>industrie!J18</f>
        <v>217.16854321315179</v>
      </c>
      <c r="L13" s="703">
        <f>industrie!K18</f>
        <v>0</v>
      </c>
      <c r="M13" s="703">
        <f>industrie!L18</f>
        <v>0</v>
      </c>
      <c r="N13" s="703">
        <f>industrie!M18</f>
        <v>0</v>
      </c>
      <c r="O13" s="703">
        <f>industrie!N18</f>
        <v>2461.1835907258073</v>
      </c>
      <c r="P13" s="703">
        <f>industrie!O18</f>
        <v>0</v>
      </c>
      <c r="Q13" s="704">
        <f>industrie!P18</f>
        <v>0</v>
      </c>
      <c r="R13" s="706">
        <f>SUM(C13:Q13)</f>
        <v>270465.71099833847</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186380.4064680759</v>
      </c>
      <c r="D15" s="708">
        <f t="shared" ref="D15:Q15" ca="1" si="0">SUM(D9:D14)</f>
        <v>20590.714285714283</v>
      </c>
      <c r="E15" s="708">
        <f t="shared" ca="1" si="0"/>
        <v>217365.03852105985</v>
      </c>
      <c r="F15" s="708">
        <f t="shared" si="0"/>
        <v>3992.4968431292095</v>
      </c>
      <c r="G15" s="708">
        <f t="shared" ca="1" si="0"/>
        <v>37828.254675825243</v>
      </c>
      <c r="H15" s="708">
        <f t="shared" si="0"/>
        <v>0</v>
      </c>
      <c r="I15" s="708">
        <f t="shared" si="0"/>
        <v>0</v>
      </c>
      <c r="J15" s="708">
        <f t="shared" si="0"/>
        <v>0</v>
      </c>
      <c r="K15" s="708">
        <f t="shared" si="0"/>
        <v>217.16854321315179</v>
      </c>
      <c r="L15" s="708">
        <f t="shared" si="0"/>
        <v>0</v>
      </c>
      <c r="M15" s="708">
        <f t="shared" ca="1" si="0"/>
        <v>0</v>
      </c>
      <c r="N15" s="708">
        <f t="shared" si="0"/>
        <v>0</v>
      </c>
      <c r="O15" s="708">
        <f t="shared" ca="1" si="0"/>
        <v>14390.753471865402</v>
      </c>
      <c r="P15" s="708">
        <f t="shared" si="0"/>
        <v>117.25</v>
      </c>
      <c r="Q15" s="709">
        <f t="shared" si="0"/>
        <v>209.73333333333335</v>
      </c>
      <c r="R15" s="710">
        <f ca="1">SUM(R9:R14)</f>
        <v>481091.81614221644</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1722.5154511912219</v>
      </c>
      <c r="I18" s="703">
        <f>transport!H54</f>
        <v>0</v>
      </c>
      <c r="J18" s="703">
        <f>transport!I54</f>
        <v>0</v>
      </c>
      <c r="K18" s="703">
        <f>transport!J54</f>
        <v>0</v>
      </c>
      <c r="L18" s="703">
        <f>transport!K54</f>
        <v>0</v>
      </c>
      <c r="M18" s="703">
        <f>transport!L54</f>
        <v>0</v>
      </c>
      <c r="N18" s="703">
        <f>transport!M54</f>
        <v>75.638494928780148</v>
      </c>
      <c r="O18" s="703">
        <f>transport!N54</f>
        <v>0</v>
      </c>
      <c r="P18" s="703">
        <f>transport!O54</f>
        <v>0</v>
      </c>
      <c r="Q18" s="704">
        <f>transport!P54</f>
        <v>0</v>
      </c>
      <c r="R18" s="706">
        <f>SUM(C18:Q18)</f>
        <v>1798.153946120002</v>
      </c>
      <c r="S18" s="68"/>
    </row>
    <row r="19" spans="1:19" s="458" customFormat="1" ht="15" thickBot="1">
      <c r="A19" s="859" t="s">
        <v>307</v>
      </c>
      <c r="B19" s="864"/>
      <c r="C19" s="712">
        <f>transport!B14</f>
        <v>8.0684978373768068</v>
      </c>
      <c r="D19" s="712">
        <f>transport!C14</f>
        <v>0</v>
      </c>
      <c r="E19" s="712">
        <f>transport!D14</f>
        <v>22.463331945158508</v>
      </c>
      <c r="F19" s="712">
        <f>transport!E14</f>
        <v>1356.5663681799128</v>
      </c>
      <c r="G19" s="712">
        <f>transport!F14</f>
        <v>0</v>
      </c>
      <c r="H19" s="712">
        <f>transport!G14</f>
        <v>336154.82767115207</v>
      </c>
      <c r="I19" s="712">
        <f>transport!H14</f>
        <v>50396.912574567643</v>
      </c>
      <c r="J19" s="712">
        <f>transport!I14</f>
        <v>0</v>
      </c>
      <c r="K19" s="712">
        <f>transport!J14</f>
        <v>0</v>
      </c>
      <c r="L19" s="712">
        <f>transport!K14</f>
        <v>0</v>
      </c>
      <c r="M19" s="712">
        <f>transport!L14</f>
        <v>0</v>
      </c>
      <c r="N19" s="712">
        <f>transport!M14</f>
        <v>17274.44871381691</v>
      </c>
      <c r="O19" s="712">
        <f>transport!N14</f>
        <v>0</v>
      </c>
      <c r="P19" s="712">
        <f>transport!O14</f>
        <v>0</v>
      </c>
      <c r="Q19" s="713">
        <f>transport!P14</f>
        <v>0</v>
      </c>
      <c r="R19" s="714">
        <f>SUM(C19:Q19)</f>
        <v>405213.28715749911</v>
      </c>
      <c r="S19" s="68"/>
    </row>
    <row r="20" spans="1:19" s="458" customFormat="1" ht="15.75" thickBot="1">
      <c r="A20" s="715" t="s">
        <v>230</v>
      </c>
      <c r="B20" s="867"/>
      <c r="C20" s="862">
        <f>SUM(C17:C19)</f>
        <v>8.0684978373768068</v>
      </c>
      <c r="D20" s="716">
        <f t="shared" ref="D20:R20" si="1">SUM(D17:D19)</f>
        <v>0</v>
      </c>
      <c r="E20" s="716">
        <f t="shared" si="1"/>
        <v>22.463331945158508</v>
      </c>
      <c r="F20" s="716">
        <f t="shared" si="1"/>
        <v>1356.5663681799128</v>
      </c>
      <c r="G20" s="716">
        <f t="shared" si="1"/>
        <v>0</v>
      </c>
      <c r="H20" s="716">
        <f t="shared" si="1"/>
        <v>337877.3431223433</v>
      </c>
      <c r="I20" s="716">
        <f t="shared" si="1"/>
        <v>50396.912574567643</v>
      </c>
      <c r="J20" s="716">
        <f t="shared" si="1"/>
        <v>0</v>
      </c>
      <c r="K20" s="716">
        <f t="shared" si="1"/>
        <v>0</v>
      </c>
      <c r="L20" s="716">
        <f t="shared" si="1"/>
        <v>0</v>
      </c>
      <c r="M20" s="716">
        <f t="shared" si="1"/>
        <v>0</v>
      </c>
      <c r="N20" s="716">
        <f t="shared" si="1"/>
        <v>17350.087208745688</v>
      </c>
      <c r="O20" s="716">
        <f t="shared" si="1"/>
        <v>0</v>
      </c>
      <c r="P20" s="716">
        <f t="shared" si="1"/>
        <v>0</v>
      </c>
      <c r="Q20" s="717">
        <f t="shared" si="1"/>
        <v>0</v>
      </c>
      <c r="R20" s="718">
        <f t="shared" si="1"/>
        <v>407011.44110361912</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917.90187074922801</v>
      </c>
      <c r="D22" s="712">
        <f>+landbouw!C8</f>
        <v>0</v>
      </c>
      <c r="E22" s="712">
        <f>+landbouw!D8</f>
        <v>3247.7366400407032</v>
      </c>
      <c r="F22" s="712">
        <f>+landbouw!E8</f>
        <v>8.6472506368855075</v>
      </c>
      <c r="G22" s="712">
        <f>+landbouw!F8</f>
        <v>2995.4184291324823</v>
      </c>
      <c r="H22" s="712">
        <f>+landbouw!G8</f>
        <v>0</v>
      </c>
      <c r="I22" s="712">
        <f>+landbouw!H8</f>
        <v>0</v>
      </c>
      <c r="J22" s="712">
        <f>+landbouw!I8</f>
        <v>0</v>
      </c>
      <c r="K22" s="712">
        <f>+landbouw!J8</f>
        <v>113.54892608552122</v>
      </c>
      <c r="L22" s="712">
        <f>+landbouw!K8</f>
        <v>0</v>
      </c>
      <c r="M22" s="712">
        <f>+landbouw!L8</f>
        <v>0</v>
      </c>
      <c r="N22" s="712">
        <f>+landbouw!M8</f>
        <v>0</v>
      </c>
      <c r="O22" s="712">
        <f>+landbouw!N8</f>
        <v>0</v>
      </c>
      <c r="P22" s="712">
        <f>+landbouw!O8</f>
        <v>0</v>
      </c>
      <c r="Q22" s="713">
        <f>+landbouw!P8</f>
        <v>0</v>
      </c>
      <c r="R22" s="714">
        <f>SUM(C22:Q22)</f>
        <v>7283.2531166448207</v>
      </c>
      <c r="S22" s="68"/>
    </row>
    <row r="23" spans="1:19" s="458" customFormat="1" ht="17.25" thickTop="1" thickBot="1">
      <c r="A23" s="719" t="s">
        <v>116</v>
      </c>
      <c r="B23" s="853"/>
      <c r="C23" s="720">
        <f ca="1">C20+C15+C22</f>
        <v>187306.3768366625</v>
      </c>
      <c r="D23" s="720">
        <f t="shared" ref="D23:Q23" ca="1" si="2">D20+D15+D22</f>
        <v>20590.714285714283</v>
      </c>
      <c r="E23" s="720">
        <f t="shared" ca="1" si="2"/>
        <v>220635.2384930457</v>
      </c>
      <c r="F23" s="720">
        <f t="shared" si="2"/>
        <v>5357.7104619460079</v>
      </c>
      <c r="G23" s="720">
        <f t="shared" ca="1" si="2"/>
        <v>40823.673104957728</v>
      </c>
      <c r="H23" s="720">
        <f t="shared" si="2"/>
        <v>337877.3431223433</v>
      </c>
      <c r="I23" s="720">
        <f t="shared" si="2"/>
        <v>50396.912574567643</v>
      </c>
      <c r="J23" s="720">
        <f t="shared" si="2"/>
        <v>0</v>
      </c>
      <c r="K23" s="720">
        <f t="shared" si="2"/>
        <v>330.717469298673</v>
      </c>
      <c r="L23" s="720">
        <f t="shared" si="2"/>
        <v>0</v>
      </c>
      <c r="M23" s="720">
        <f t="shared" ca="1" si="2"/>
        <v>0</v>
      </c>
      <c r="N23" s="720">
        <f t="shared" si="2"/>
        <v>17350.087208745688</v>
      </c>
      <c r="O23" s="720">
        <f t="shared" ca="1" si="2"/>
        <v>14390.753471865402</v>
      </c>
      <c r="P23" s="720">
        <f t="shared" si="2"/>
        <v>117.25</v>
      </c>
      <c r="Q23" s="721">
        <f t="shared" si="2"/>
        <v>209.73333333333335</v>
      </c>
      <c r="R23" s="722">
        <f ca="1">R20+R15+R22</f>
        <v>895386.51036248042</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6798.2931740139784</v>
      </c>
      <c r="D36" s="703">
        <f ca="1">tertiair!C20</f>
        <v>0</v>
      </c>
      <c r="E36" s="703">
        <f ca="1">tertiair!D20</f>
        <v>6207.9167293426754</v>
      </c>
      <c r="F36" s="703">
        <f>tertiair!E20</f>
        <v>62.310022055378653</v>
      </c>
      <c r="G36" s="703">
        <f ca="1">tertiair!F20</f>
        <v>1659.125654144726</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14727.645579556758</v>
      </c>
    </row>
    <row r="37" spans="1:18">
      <c r="A37" s="874" t="s">
        <v>225</v>
      </c>
      <c r="B37" s="881"/>
      <c r="C37" s="703">
        <f ca="1">huishoudens!B12</f>
        <v>5982.8613152854196</v>
      </c>
      <c r="D37" s="703">
        <f ca="1">huishoudens!C12</f>
        <v>0</v>
      </c>
      <c r="E37" s="703">
        <f>huishoudens!D12</f>
        <v>16765.776686373407</v>
      </c>
      <c r="F37" s="703">
        <f>huishoudens!E12</f>
        <v>641.94963406830539</v>
      </c>
      <c r="G37" s="703">
        <f>huishoudens!F12</f>
        <v>2982.6037387080014</v>
      </c>
      <c r="H37" s="703">
        <f>huishoudens!G12</f>
        <v>0</v>
      </c>
      <c r="I37" s="703">
        <f>huishoudens!H12</f>
        <v>0</v>
      </c>
      <c r="J37" s="703">
        <f>huishoudens!I12</f>
        <v>0</v>
      </c>
      <c r="K37" s="703">
        <f>huishoudens!J12</f>
        <v>0</v>
      </c>
      <c r="L37" s="703">
        <f>huishoudens!K12</f>
        <v>0</v>
      </c>
      <c r="M37" s="703">
        <f>huishoudens!L12</f>
        <v>0</v>
      </c>
      <c r="N37" s="703">
        <f>huishoudens!M12</f>
        <v>0</v>
      </c>
      <c r="O37" s="703">
        <f>huishoudens!N12</f>
        <v>0</v>
      </c>
      <c r="P37" s="703">
        <f>huishoudens!O12</f>
        <v>0</v>
      </c>
      <c r="Q37" s="813">
        <f>huishoudens!P12</f>
        <v>0</v>
      </c>
      <c r="R37" s="906">
        <f ca="1">SUM(C37:Q37)</f>
        <v>26373.191374435133</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24352.330695563152</v>
      </c>
      <c r="D39" s="703">
        <f ca="1">industrie!C22</f>
        <v>4893.3226890756296</v>
      </c>
      <c r="E39" s="703">
        <f>industrie!D22</f>
        <v>20934.044365538011</v>
      </c>
      <c r="F39" s="703">
        <f>industrie!E22</f>
        <v>202.03712726664656</v>
      </c>
      <c r="G39" s="703">
        <f>industrie!F22</f>
        <v>5458.414605592613</v>
      </c>
      <c r="H39" s="703">
        <f>industrie!G22</f>
        <v>0</v>
      </c>
      <c r="I39" s="703">
        <f>industrie!H22</f>
        <v>0</v>
      </c>
      <c r="J39" s="703">
        <f>industrie!I22</f>
        <v>0</v>
      </c>
      <c r="K39" s="703">
        <f>industrie!J22</f>
        <v>76.877664297455738</v>
      </c>
      <c r="L39" s="703">
        <f>industrie!K22</f>
        <v>0</v>
      </c>
      <c r="M39" s="703">
        <f>industrie!L22</f>
        <v>0</v>
      </c>
      <c r="N39" s="703">
        <f>industrie!M22</f>
        <v>0</v>
      </c>
      <c r="O39" s="703">
        <f>industrie!N22</f>
        <v>0</v>
      </c>
      <c r="P39" s="703">
        <f>industrie!O22</f>
        <v>0</v>
      </c>
      <c r="Q39" s="813">
        <f>industrie!P22</f>
        <v>0</v>
      </c>
      <c r="R39" s="907">
        <f ca="1">SUM(C39:Q39)</f>
        <v>55917.027147333509</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37133.485184862555</v>
      </c>
      <c r="D41" s="748">
        <f t="shared" ref="D41:R41" ca="1" si="4">SUM(D35:D40)</f>
        <v>4893.3226890756296</v>
      </c>
      <c r="E41" s="748">
        <f t="shared" ca="1" si="4"/>
        <v>43907.737781254094</v>
      </c>
      <c r="F41" s="748">
        <f t="shared" si="4"/>
        <v>906.29678339033057</v>
      </c>
      <c r="G41" s="748">
        <f t="shared" ca="1" si="4"/>
        <v>10100.143998445339</v>
      </c>
      <c r="H41" s="748">
        <f t="shared" si="4"/>
        <v>0</v>
      </c>
      <c r="I41" s="748">
        <f t="shared" si="4"/>
        <v>0</v>
      </c>
      <c r="J41" s="748">
        <f t="shared" si="4"/>
        <v>0</v>
      </c>
      <c r="K41" s="748">
        <f t="shared" si="4"/>
        <v>76.877664297455738</v>
      </c>
      <c r="L41" s="748">
        <f t="shared" si="4"/>
        <v>0</v>
      </c>
      <c r="M41" s="748">
        <f t="shared" ca="1" si="4"/>
        <v>0</v>
      </c>
      <c r="N41" s="748">
        <f t="shared" si="4"/>
        <v>0</v>
      </c>
      <c r="O41" s="748">
        <f t="shared" ca="1" si="4"/>
        <v>0</v>
      </c>
      <c r="P41" s="748">
        <f t="shared" si="4"/>
        <v>0</v>
      </c>
      <c r="Q41" s="749">
        <f t="shared" si="4"/>
        <v>0</v>
      </c>
      <c r="R41" s="750">
        <f t="shared" ca="1" si="4"/>
        <v>97017.864101325395</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459.91162546805629</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459.91162546805629</v>
      </c>
    </row>
    <row r="45" spans="1:18" ht="15" thickBot="1">
      <c r="A45" s="877" t="s">
        <v>307</v>
      </c>
      <c r="B45" s="887"/>
      <c r="C45" s="712">
        <f ca="1">transport!B18</f>
        <v>1.6075265130385152</v>
      </c>
      <c r="D45" s="712">
        <f>transport!C18</f>
        <v>0</v>
      </c>
      <c r="E45" s="712">
        <f>transport!D18</f>
        <v>4.537593052922019</v>
      </c>
      <c r="F45" s="712">
        <f>transport!E18</f>
        <v>307.94056557684024</v>
      </c>
      <c r="G45" s="712">
        <f>transport!F18</f>
        <v>0</v>
      </c>
      <c r="H45" s="712">
        <f>transport!G18</f>
        <v>89753.338988197604</v>
      </c>
      <c r="I45" s="712">
        <f>transport!H18</f>
        <v>12548.831231067343</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102616.25590440774</v>
      </c>
    </row>
    <row r="46" spans="1:18" ht="15.75" thickBot="1">
      <c r="A46" s="875" t="s">
        <v>230</v>
      </c>
      <c r="B46" s="888"/>
      <c r="C46" s="748">
        <f t="shared" ref="C46:R46" ca="1" si="5">SUM(C43:C45)</f>
        <v>1.6075265130385152</v>
      </c>
      <c r="D46" s="748">
        <f t="shared" ca="1" si="5"/>
        <v>0</v>
      </c>
      <c r="E46" s="748">
        <f t="shared" si="5"/>
        <v>4.537593052922019</v>
      </c>
      <c r="F46" s="748">
        <f t="shared" si="5"/>
        <v>307.94056557684024</v>
      </c>
      <c r="G46" s="748">
        <f t="shared" si="5"/>
        <v>0</v>
      </c>
      <c r="H46" s="748">
        <f t="shared" si="5"/>
        <v>90213.250613665659</v>
      </c>
      <c r="I46" s="748">
        <f t="shared" si="5"/>
        <v>12548.831231067343</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103076.16752987579</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182.87810486378726</v>
      </c>
      <c r="D48" s="703">
        <f ca="1">+landbouw!C12</f>
        <v>0</v>
      </c>
      <c r="E48" s="703">
        <f>+landbouw!D12</f>
        <v>656.04280128822211</v>
      </c>
      <c r="F48" s="703">
        <f>+landbouw!E12</f>
        <v>1.9629258945730104</v>
      </c>
      <c r="G48" s="703">
        <f>+landbouw!F12</f>
        <v>799.77672057837276</v>
      </c>
      <c r="H48" s="703">
        <f>+landbouw!G12</f>
        <v>0</v>
      </c>
      <c r="I48" s="703">
        <f>+landbouw!H12</f>
        <v>0</v>
      </c>
      <c r="J48" s="703">
        <f>+landbouw!I12</f>
        <v>0</v>
      </c>
      <c r="K48" s="703">
        <f>+landbouw!J12</f>
        <v>40.196319834274512</v>
      </c>
      <c r="L48" s="703">
        <f>+landbouw!K12</f>
        <v>0</v>
      </c>
      <c r="M48" s="703">
        <f>+landbouw!L12</f>
        <v>0</v>
      </c>
      <c r="N48" s="703">
        <f>+landbouw!M12</f>
        <v>0</v>
      </c>
      <c r="O48" s="703">
        <f>+landbouw!N12</f>
        <v>0</v>
      </c>
      <c r="P48" s="703">
        <f>+landbouw!O12</f>
        <v>0</v>
      </c>
      <c r="Q48" s="704">
        <f>+landbouw!P12</f>
        <v>0</v>
      </c>
      <c r="R48" s="746">
        <f ca="1">SUM(C48:Q48)</f>
        <v>1680.8568724592296</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37317.970816239387</v>
      </c>
      <c r="D53" s="758">
        <f t="shared" ref="D53:Q53" ca="1" si="6">D41+D46+D48</f>
        <v>4893.3226890756296</v>
      </c>
      <c r="E53" s="758">
        <f t="shared" ca="1" si="6"/>
        <v>44568.318175595239</v>
      </c>
      <c r="F53" s="758">
        <f t="shared" si="6"/>
        <v>1216.200274861744</v>
      </c>
      <c r="G53" s="758">
        <f t="shared" ca="1" si="6"/>
        <v>10899.920719023712</v>
      </c>
      <c r="H53" s="758">
        <f t="shared" si="6"/>
        <v>90213.250613665659</v>
      </c>
      <c r="I53" s="758">
        <f t="shared" si="6"/>
        <v>12548.831231067343</v>
      </c>
      <c r="J53" s="758">
        <f t="shared" si="6"/>
        <v>0</v>
      </c>
      <c r="K53" s="758">
        <f t="shared" si="6"/>
        <v>117.07398413173024</v>
      </c>
      <c r="L53" s="758">
        <f t="shared" si="6"/>
        <v>0</v>
      </c>
      <c r="M53" s="758">
        <f t="shared" ca="1" si="6"/>
        <v>0</v>
      </c>
      <c r="N53" s="758">
        <f t="shared" si="6"/>
        <v>0</v>
      </c>
      <c r="O53" s="758">
        <f t="shared" ca="1" si="6"/>
        <v>0</v>
      </c>
      <c r="P53" s="758">
        <f>P41+P46+P48</f>
        <v>0</v>
      </c>
      <c r="Q53" s="759">
        <f t="shared" si="6"/>
        <v>0</v>
      </c>
      <c r="R53" s="760">
        <f ca="1">R41+R46+R48</f>
        <v>201774.88850366042</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0.1992349189946796</v>
      </c>
      <c r="D55" s="824">
        <f t="shared" ca="1" si="7"/>
        <v>0.23764705882352941</v>
      </c>
      <c r="E55" s="824">
        <f t="shared" ca="1" si="7"/>
        <v>0.20200000000000004</v>
      </c>
      <c r="F55" s="824">
        <f t="shared" si="7"/>
        <v>0.22700000000000004</v>
      </c>
      <c r="G55" s="824">
        <f t="shared" ca="1" si="7"/>
        <v>0.26699999999999996</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11422.726477954726</v>
      </c>
      <c r="C64" s="780">
        <f>'lokale energieproductie'!B4</f>
        <v>11422.726477954726</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8109.7660424795786</v>
      </c>
      <c r="C66" s="780">
        <f>'lokale energieproductie'!B6</f>
        <v>8109.7660424795786</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14413.499999999998</v>
      </c>
      <c r="C67" s="779">
        <f>B67*IFERROR(SUM(J67:L67)/SUM(D67:M67),0)</f>
        <v>0</v>
      </c>
      <c r="D67" s="811">
        <f>'lokale energieproductie'!C7</f>
        <v>16957.058823529409</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3425.3258823529409</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33945.992520434302</v>
      </c>
      <c r="C69" s="788">
        <f>SUM(C64:C68)</f>
        <v>19532.492520434305</v>
      </c>
      <c r="D69" s="789">
        <f t="shared" ref="D69:M69" si="8">SUM(D67:D68)</f>
        <v>16957.058823529409</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3425.3258823529409</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20590.714285714283</v>
      </c>
      <c r="C78" s="802">
        <f>B78*IFERROR(SUM(I78:L78)/SUM(D78:M78),0)</f>
        <v>0</v>
      </c>
      <c r="D78" s="817">
        <f>'lokale energieproductie'!C16</f>
        <v>24224.369747899153</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4893.3226890756296</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20590.714285714283</v>
      </c>
      <c r="C81" s="788">
        <f>SUM(C78:C80)</f>
        <v>0</v>
      </c>
      <c r="D81" s="788">
        <f t="shared" ref="D81:P81" si="9">SUM(D78:D80)</f>
        <v>24224.369747899153</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4893.3226890756296</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30029.180353897646</v>
      </c>
      <c r="C4" s="462">
        <f>huishoudens!C8</f>
        <v>0</v>
      </c>
      <c r="D4" s="462">
        <f>huishoudens!D8</f>
        <v>82998.894486997058</v>
      </c>
      <c r="E4" s="462">
        <f>huishoudens!E8</f>
        <v>2827.9719562480414</v>
      </c>
      <c r="F4" s="462">
        <f>huishoudens!F8</f>
        <v>11170.800519505623</v>
      </c>
      <c r="G4" s="462">
        <f>huishoudens!G8</f>
        <v>0</v>
      </c>
      <c r="H4" s="462">
        <f>huishoudens!H8</f>
        <v>0</v>
      </c>
      <c r="I4" s="462">
        <f>huishoudens!I8</f>
        <v>0</v>
      </c>
      <c r="J4" s="462">
        <f>huishoudens!J8</f>
        <v>0</v>
      </c>
      <c r="K4" s="462">
        <f>huishoudens!K8</f>
        <v>0</v>
      </c>
      <c r="L4" s="462">
        <f>huishoudens!L8</f>
        <v>0</v>
      </c>
      <c r="M4" s="462">
        <f>huishoudens!M8</f>
        <v>0</v>
      </c>
      <c r="N4" s="462">
        <f>huishoudens!N8</f>
        <v>9982.5640547478761</v>
      </c>
      <c r="O4" s="462">
        <f>huishoudens!O8</f>
        <v>117.25</v>
      </c>
      <c r="P4" s="463">
        <f>huishoudens!P8</f>
        <v>209.73333333333335</v>
      </c>
      <c r="Q4" s="464">
        <f>SUM(B4:P4)</f>
        <v>137336.39470472958</v>
      </c>
    </row>
    <row r="5" spans="1:17">
      <c r="A5" s="461" t="s">
        <v>156</v>
      </c>
      <c r="B5" s="462">
        <f ca="1">tertiair!B16</f>
        <v>32618.415326334354</v>
      </c>
      <c r="C5" s="462">
        <f ca="1">tertiair!C16</f>
        <v>0</v>
      </c>
      <c r="D5" s="462">
        <f ca="1">tertiair!D16</f>
        <v>30732.261036349875</v>
      </c>
      <c r="E5" s="462">
        <f>tertiair!E16</f>
        <v>274.49348923074297</v>
      </c>
      <c r="F5" s="462">
        <f ca="1">tertiair!F16</f>
        <v>6213.9537608416704</v>
      </c>
      <c r="G5" s="462">
        <f>tertiair!G16</f>
        <v>0</v>
      </c>
      <c r="H5" s="462">
        <f>tertiair!H16</f>
        <v>0</v>
      </c>
      <c r="I5" s="462">
        <f>tertiair!I16</f>
        <v>0</v>
      </c>
      <c r="J5" s="462">
        <f>tertiair!J16</f>
        <v>0</v>
      </c>
      <c r="K5" s="462">
        <f>tertiair!K16</f>
        <v>0</v>
      </c>
      <c r="L5" s="462">
        <f ca="1">tertiair!L16</f>
        <v>0</v>
      </c>
      <c r="M5" s="462">
        <f>tertiair!M16</f>
        <v>0</v>
      </c>
      <c r="N5" s="462">
        <f ca="1">tertiair!N16</f>
        <v>1947.0058263917203</v>
      </c>
      <c r="O5" s="462">
        <f>tertiair!O16</f>
        <v>0</v>
      </c>
      <c r="P5" s="463">
        <f>tertiair!P16</f>
        <v>0</v>
      </c>
      <c r="Q5" s="461">
        <f t="shared" ref="Q5:Q13" ca="1" si="0">SUM(B5:P5)</f>
        <v>71786.129439148353</v>
      </c>
    </row>
    <row r="6" spans="1:17">
      <c r="A6" s="461" t="s">
        <v>194</v>
      </c>
      <c r="B6" s="462">
        <f>'openbare verlichting'!B8</f>
        <v>1503.5809999999999</v>
      </c>
      <c r="C6" s="462"/>
      <c r="D6" s="462"/>
      <c r="E6" s="462"/>
      <c r="F6" s="462"/>
      <c r="G6" s="462"/>
      <c r="H6" s="462"/>
      <c r="I6" s="462"/>
      <c r="J6" s="462"/>
      <c r="K6" s="462"/>
      <c r="L6" s="462"/>
      <c r="M6" s="462"/>
      <c r="N6" s="462"/>
      <c r="O6" s="462"/>
      <c r="P6" s="463"/>
      <c r="Q6" s="461">
        <f t="shared" si="0"/>
        <v>1503.5809999999999</v>
      </c>
    </row>
    <row r="7" spans="1:17">
      <c r="A7" s="461" t="s">
        <v>112</v>
      </c>
      <c r="B7" s="462">
        <f>landbouw!B8</f>
        <v>917.90187074922801</v>
      </c>
      <c r="C7" s="462">
        <f>landbouw!C8</f>
        <v>0</v>
      </c>
      <c r="D7" s="462">
        <f>landbouw!D8</f>
        <v>3247.7366400407032</v>
      </c>
      <c r="E7" s="462">
        <f>landbouw!E8</f>
        <v>8.6472506368855075</v>
      </c>
      <c r="F7" s="462">
        <f>landbouw!F8</f>
        <v>2995.4184291324823</v>
      </c>
      <c r="G7" s="462">
        <f>landbouw!G8</f>
        <v>0</v>
      </c>
      <c r="H7" s="462">
        <f>landbouw!H8</f>
        <v>0</v>
      </c>
      <c r="I7" s="462">
        <f>landbouw!I8</f>
        <v>0</v>
      </c>
      <c r="J7" s="462">
        <f>landbouw!J8</f>
        <v>113.54892608552122</v>
      </c>
      <c r="K7" s="462">
        <f>landbouw!K8</f>
        <v>0</v>
      </c>
      <c r="L7" s="462">
        <f>landbouw!L8</f>
        <v>0</v>
      </c>
      <c r="M7" s="462">
        <f>landbouw!M8</f>
        <v>0</v>
      </c>
      <c r="N7" s="462">
        <f>landbouw!N8</f>
        <v>0</v>
      </c>
      <c r="O7" s="462">
        <f>landbouw!O8</f>
        <v>0</v>
      </c>
      <c r="P7" s="463">
        <f>landbouw!P8</f>
        <v>0</v>
      </c>
      <c r="Q7" s="461">
        <f t="shared" si="0"/>
        <v>7283.2531166448207</v>
      </c>
    </row>
    <row r="8" spans="1:17">
      <c r="A8" s="461" t="s">
        <v>685</v>
      </c>
      <c r="B8" s="462">
        <f>industrie!B18</f>
        <v>122229.22978784391</v>
      </c>
      <c r="C8" s="462">
        <f>industrie!C18</f>
        <v>20590.714285714283</v>
      </c>
      <c r="D8" s="462">
        <f>industrie!D18</f>
        <v>103633.88299771292</v>
      </c>
      <c r="E8" s="462">
        <f>industrie!E18</f>
        <v>890.03139765042533</v>
      </c>
      <c r="F8" s="462">
        <f>industrie!F18</f>
        <v>20443.500395477949</v>
      </c>
      <c r="G8" s="462">
        <f>industrie!G18</f>
        <v>0</v>
      </c>
      <c r="H8" s="462">
        <f>industrie!H18</f>
        <v>0</v>
      </c>
      <c r="I8" s="462">
        <f>industrie!I18</f>
        <v>0</v>
      </c>
      <c r="J8" s="462">
        <f>industrie!J18</f>
        <v>217.16854321315179</v>
      </c>
      <c r="K8" s="462">
        <f>industrie!K18</f>
        <v>0</v>
      </c>
      <c r="L8" s="462">
        <f>industrie!L18</f>
        <v>0</v>
      </c>
      <c r="M8" s="462">
        <f>industrie!M18</f>
        <v>0</v>
      </c>
      <c r="N8" s="462">
        <f>industrie!N18</f>
        <v>2461.1835907258073</v>
      </c>
      <c r="O8" s="462">
        <f>industrie!O18</f>
        <v>0</v>
      </c>
      <c r="P8" s="463">
        <f>industrie!P18</f>
        <v>0</v>
      </c>
      <c r="Q8" s="461">
        <f t="shared" si="0"/>
        <v>270465.71099833847</v>
      </c>
    </row>
    <row r="9" spans="1:17" s="467" customFormat="1">
      <c r="A9" s="465" t="s">
        <v>579</v>
      </c>
      <c r="B9" s="466">
        <f>transport!B14</f>
        <v>8.0684978373768068</v>
      </c>
      <c r="C9" s="466">
        <f>transport!C14</f>
        <v>0</v>
      </c>
      <c r="D9" s="466">
        <f>transport!D14</f>
        <v>22.463331945158508</v>
      </c>
      <c r="E9" s="466">
        <f>transport!E14</f>
        <v>1356.5663681799128</v>
      </c>
      <c r="F9" s="466">
        <f>transport!F14</f>
        <v>0</v>
      </c>
      <c r="G9" s="466">
        <f>transport!G14</f>
        <v>336154.82767115207</v>
      </c>
      <c r="H9" s="466">
        <f>transport!H14</f>
        <v>50396.912574567643</v>
      </c>
      <c r="I9" s="466">
        <f>transport!I14</f>
        <v>0</v>
      </c>
      <c r="J9" s="466">
        <f>transport!J14</f>
        <v>0</v>
      </c>
      <c r="K9" s="466">
        <f>transport!K14</f>
        <v>0</v>
      </c>
      <c r="L9" s="466">
        <f>transport!L14</f>
        <v>0</v>
      </c>
      <c r="M9" s="466">
        <f>transport!M14</f>
        <v>17274.44871381691</v>
      </c>
      <c r="N9" s="466">
        <f>transport!N14</f>
        <v>0</v>
      </c>
      <c r="O9" s="466">
        <f>transport!O14</f>
        <v>0</v>
      </c>
      <c r="P9" s="466">
        <f>transport!P14</f>
        <v>0</v>
      </c>
      <c r="Q9" s="465">
        <f>SUM(B9:P9)</f>
        <v>405213.28715749911</v>
      </c>
    </row>
    <row r="10" spans="1:17">
      <c r="A10" s="461" t="s">
        <v>569</v>
      </c>
      <c r="B10" s="462">
        <f>transport!B54</f>
        <v>0</v>
      </c>
      <c r="C10" s="462">
        <f>transport!C54</f>
        <v>0</v>
      </c>
      <c r="D10" s="462">
        <f>transport!D54</f>
        <v>0</v>
      </c>
      <c r="E10" s="462">
        <f>transport!E54</f>
        <v>0</v>
      </c>
      <c r="F10" s="462">
        <f>transport!F54</f>
        <v>0</v>
      </c>
      <c r="G10" s="462">
        <f>transport!G54</f>
        <v>1722.5154511912219</v>
      </c>
      <c r="H10" s="462">
        <f>transport!H54</f>
        <v>0</v>
      </c>
      <c r="I10" s="462">
        <f>transport!I54</f>
        <v>0</v>
      </c>
      <c r="J10" s="462">
        <f>transport!J54</f>
        <v>0</v>
      </c>
      <c r="K10" s="462">
        <f>transport!K54</f>
        <v>0</v>
      </c>
      <c r="L10" s="462">
        <f>transport!L54</f>
        <v>0</v>
      </c>
      <c r="M10" s="462">
        <f>transport!M54</f>
        <v>75.638494928780148</v>
      </c>
      <c r="N10" s="462">
        <f>transport!N54</f>
        <v>0</v>
      </c>
      <c r="O10" s="462">
        <f>transport!O54</f>
        <v>0</v>
      </c>
      <c r="P10" s="463">
        <f>transport!P54</f>
        <v>0</v>
      </c>
      <c r="Q10" s="461">
        <f t="shared" si="0"/>
        <v>1798.153946120002</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187306.3768366625</v>
      </c>
      <c r="C14" s="472">
        <f t="shared" ref="C14:Q14" ca="1" si="1">SUM(C4:C13)</f>
        <v>20590.714285714283</v>
      </c>
      <c r="D14" s="472">
        <f t="shared" ca="1" si="1"/>
        <v>220635.2384930457</v>
      </c>
      <c r="E14" s="472">
        <f t="shared" si="1"/>
        <v>5357.7104619460079</v>
      </c>
      <c r="F14" s="472">
        <f t="shared" ca="1" si="1"/>
        <v>40823.673104957721</v>
      </c>
      <c r="G14" s="472">
        <f t="shared" si="1"/>
        <v>337877.3431223433</v>
      </c>
      <c r="H14" s="472">
        <f t="shared" si="1"/>
        <v>50396.912574567643</v>
      </c>
      <c r="I14" s="472">
        <f t="shared" si="1"/>
        <v>0</v>
      </c>
      <c r="J14" s="472">
        <f t="shared" si="1"/>
        <v>330.717469298673</v>
      </c>
      <c r="K14" s="472">
        <f t="shared" si="1"/>
        <v>0</v>
      </c>
      <c r="L14" s="472">
        <f t="shared" ca="1" si="1"/>
        <v>0</v>
      </c>
      <c r="M14" s="472">
        <f t="shared" si="1"/>
        <v>17350.087208745688</v>
      </c>
      <c r="N14" s="472">
        <f t="shared" ca="1" si="1"/>
        <v>14390.753471865402</v>
      </c>
      <c r="O14" s="472">
        <f t="shared" si="1"/>
        <v>117.25</v>
      </c>
      <c r="P14" s="473">
        <f t="shared" si="1"/>
        <v>209.73333333333335</v>
      </c>
      <c r="Q14" s="473">
        <f t="shared" ca="1" si="1"/>
        <v>895386.51036248042</v>
      </c>
    </row>
    <row r="16" spans="1:17">
      <c r="A16" s="475" t="s">
        <v>574</v>
      </c>
      <c r="B16" s="829">
        <f ca="1">huishoudens!B10</f>
        <v>0.19923491899467954</v>
      </c>
      <c r="C16" s="829">
        <f ca="1">huishoudens!C10</f>
        <v>0.23764705882352941</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5982.8613152854196</v>
      </c>
      <c r="C21" s="462">
        <f t="shared" ref="C21:C30" ca="1" si="3">C4*$C$16</f>
        <v>0</v>
      </c>
      <c r="D21" s="462">
        <f t="shared" ref="D21:D30" si="4">D4*$D$16</f>
        <v>16765.776686373407</v>
      </c>
      <c r="E21" s="462">
        <f t="shared" ref="E21:E30" si="5">E4*$E$16</f>
        <v>641.94963406830539</v>
      </c>
      <c r="F21" s="462">
        <f t="shared" ref="F21:F30" si="6">F4*$F$16</f>
        <v>2982.6037387080014</v>
      </c>
      <c r="G21" s="462">
        <f t="shared" ref="G21:G30" si="7">G4*$G$16</f>
        <v>0</v>
      </c>
      <c r="H21" s="462">
        <f t="shared" ref="H21:H30" si="8">H4*$H$16</f>
        <v>0</v>
      </c>
      <c r="I21" s="462">
        <f t="shared" ref="I21:I30" si="9">I4*$I$16</f>
        <v>0</v>
      </c>
      <c r="J21" s="462">
        <f t="shared" ref="J21:J30" si="10">J4*$J$16</f>
        <v>0</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26373.191374435133</v>
      </c>
    </row>
    <row r="22" spans="1:17">
      <c r="A22" s="461" t="s">
        <v>156</v>
      </c>
      <c r="B22" s="462">
        <f t="shared" ca="1" si="2"/>
        <v>6498.7273352770389</v>
      </c>
      <c r="C22" s="462">
        <f t="shared" ca="1" si="3"/>
        <v>0</v>
      </c>
      <c r="D22" s="462">
        <f t="shared" ca="1" si="4"/>
        <v>6207.9167293426754</v>
      </c>
      <c r="E22" s="462">
        <f t="shared" si="5"/>
        <v>62.310022055378653</v>
      </c>
      <c r="F22" s="462">
        <f t="shared" ca="1" si="6"/>
        <v>1659.125654144726</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14428.07974081982</v>
      </c>
    </row>
    <row r="23" spans="1:17">
      <c r="A23" s="461" t="s">
        <v>194</v>
      </c>
      <c r="B23" s="462">
        <f t="shared" ca="1" si="2"/>
        <v>299.56583873693927</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299.56583873693927</v>
      </c>
    </row>
    <row r="24" spans="1:17">
      <c r="A24" s="461" t="s">
        <v>112</v>
      </c>
      <c r="B24" s="462">
        <f t="shared" ca="1" si="2"/>
        <v>182.87810486378726</v>
      </c>
      <c r="C24" s="462">
        <f t="shared" ca="1" si="3"/>
        <v>0</v>
      </c>
      <c r="D24" s="462">
        <f t="shared" si="4"/>
        <v>656.04280128822211</v>
      </c>
      <c r="E24" s="462">
        <f t="shared" si="5"/>
        <v>1.9629258945730104</v>
      </c>
      <c r="F24" s="462">
        <f t="shared" si="6"/>
        <v>799.77672057837276</v>
      </c>
      <c r="G24" s="462">
        <f t="shared" si="7"/>
        <v>0</v>
      </c>
      <c r="H24" s="462">
        <f t="shared" si="8"/>
        <v>0</v>
      </c>
      <c r="I24" s="462">
        <f t="shared" si="9"/>
        <v>0</v>
      </c>
      <c r="J24" s="462">
        <f t="shared" si="10"/>
        <v>40.196319834274512</v>
      </c>
      <c r="K24" s="462">
        <f t="shared" si="11"/>
        <v>0</v>
      </c>
      <c r="L24" s="462">
        <f t="shared" si="12"/>
        <v>0</v>
      </c>
      <c r="M24" s="462">
        <f t="shared" si="13"/>
        <v>0</v>
      </c>
      <c r="N24" s="462">
        <f t="shared" si="14"/>
        <v>0</v>
      </c>
      <c r="O24" s="462">
        <f t="shared" si="15"/>
        <v>0</v>
      </c>
      <c r="P24" s="463">
        <f t="shared" si="16"/>
        <v>0</v>
      </c>
      <c r="Q24" s="461">
        <f t="shared" ca="1" si="17"/>
        <v>1680.8568724592296</v>
      </c>
    </row>
    <row r="25" spans="1:17">
      <c r="A25" s="461" t="s">
        <v>685</v>
      </c>
      <c r="B25" s="462">
        <f t="shared" ca="1" si="2"/>
        <v>24352.330695563152</v>
      </c>
      <c r="C25" s="462">
        <f t="shared" ca="1" si="3"/>
        <v>4893.3226890756296</v>
      </c>
      <c r="D25" s="462">
        <f t="shared" si="4"/>
        <v>20934.044365538011</v>
      </c>
      <c r="E25" s="462">
        <f t="shared" si="5"/>
        <v>202.03712726664656</v>
      </c>
      <c r="F25" s="462">
        <f t="shared" si="6"/>
        <v>5458.414605592613</v>
      </c>
      <c r="G25" s="462">
        <f t="shared" si="7"/>
        <v>0</v>
      </c>
      <c r="H25" s="462">
        <f t="shared" si="8"/>
        <v>0</v>
      </c>
      <c r="I25" s="462">
        <f t="shared" si="9"/>
        <v>0</v>
      </c>
      <c r="J25" s="462">
        <f t="shared" si="10"/>
        <v>76.877664297455738</v>
      </c>
      <c r="K25" s="462">
        <f t="shared" si="11"/>
        <v>0</v>
      </c>
      <c r="L25" s="462">
        <f t="shared" si="12"/>
        <v>0</v>
      </c>
      <c r="M25" s="462">
        <f t="shared" si="13"/>
        <v>0</v>
      </c>
      <c r="N25" s="462">
        <f t="shared" si="14"/>
        <v>0</v>
      </c>
      <c r="O25" s="462">
        <f t="shared" si="15"/>
        <v>0</v>
      </c>
      <c r="P25" s="463">
        <f t="shared" si="16"/>
        <v>0</v>
      </c>
      <c r="Q25" s="461">
        <f t="shared" ca="1" si="17"/>
        <v>55917.027147333509</v>
      </c>
    </row>
    <row r="26" spans="1:17" s="467" customFormat="1">
      <c r="A26" s="465" t="s">
        <v>579</v>
      </c>
      <c r="B26" s="823">
        <f t="shared" ca="1" si="2"/>
        <v>1.6075265130385152</v>
      </c>
      <c r="C26" s="466">
        <f t="shared" ca="1" si="3"/>
        <v>0</v>
      </c>
      <c r="D26" s="466">
        <f t="shared" si="4"/>
        <v>4.537593052922019</v>
      </c>
      <c r="E26" s="466">
        <f t="shared" si="5"/>
        <v>307.94056557684024</v>
      </c>
      <c r="F26" s="466">
        <f t="shared" si="6"/>
        <v>0</v>
      </c>
      <c r="G26" s="466">
        <f t="shared" si="7"/>
        <v>89753.338988197604</v>
      </c>
      <c r="H26" s="466">
        <f t="shared" si="8"/>
        <v>12548.831231067343</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102616.25590440774</v>
      </c>
    </row>
    <row r="27" spans="1:17">
      <c r="A27" s="461" t="s">
        <v>569</v>
      </c>
      <c r="B27" s="462">
        <f t="shared" ca="1" si="2"/>
        <v>0</v>
      </c>
      <c r="C27" s="462">
        <f t="shared" ca="1" si="3"/>
        <v>0</v>
      </c>
      <c r="D27" s="462">
        <f t="shared" si="4"/>
        <v>0</v>
      </c>
      <c r="E27" s="462">
        <f t="shared" si="5"/>
        <v>0</v>
      </c>
      <c r="F27" s="462">
        <f t="shared" si="6"/>
        <v>0</v>
      </c>
      <c r="G27" s="462">
        <f t="shared" si="7"/>
        <v>459.91162546805629</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459.91162546805629</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37317.97081623938</v>
      </c>
      <c r="C31" s="472">
        <f t="shared" ca="1" si="18"/>
        <v>4893.3226890756296</v>
      </c>
      <c r="D31" s="472">
        <f t="shared" ca="1" si="18"/>
        <v>44568.318175595232</v>
      </c>
      <c r="E31" s="472">
        <f t="shared" si="18"/>
        <v>1216.200274861744</v>
      </c>
      <c r="F31" s="472">
        <f t="shared" ca="1" si="18"/>
        <v>10899.920719023714</v>
      </c>
      <c r="G31" s="472">
        <f t="shared" si="18"/>
        <v>90213.250613665659</v>
      </c>
      <c r="H31" s="472">
        <f t="shared" si="18"/>
        <v>12548.831231067343</v>
      </c>
      <c r="I31" s="472">
        <f t="shared" si="18"/>
        <v>0</v>
      </c>
      <c r="J31" s="472">
        <f t="shared" si="18"/>
        <v>117.07398413173024</v>
      </c>
      <c r="K31" s="472">
        <f t="shared" si="18"/>
        <v>0</v>
      </c>
      <c r="L31" s="472">
        <f t="shared" ca="1" si="18"/>
        <v>0</v>
      </c>
      <c r="M31" s="472">
        <f t="shared" si="18"/>
        <v>0</v>
      </c>
      <c r="N31" s="472">
        <f t="shared" ca="1" si="18"/>
        <v>0</v>
      </c>
      <c r="O31" s="472">
        <f t="shared" si="18"/>
        <v>0</v>
      </c>
      <c r="P31" s="473">
        <f t="shared" si="18"/>
        <v>0</v>
      </c>
      <c r="Q31" s="473">
        <f t="shared" ca="1" si="18"/>
        <v>201774.88850366042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0.19923491899467954</v>
      </c>
      <c r="C17" s="512">
        <f ca="1">'EF ele_warmte'!B22</f>
        <v>0.23764705882352941</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0.19923491899467954</v>
      </c>
      <c r="C17" s="512">
        <f ca="1">'EF ele_warmte'!B22</f>
        <v>0.23764705882352941</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0.19923491899467954</v>
      </c>
      <c r="C29" s="513">
        <f ca="1">'EF ele_warmte'!B22</f>
        <v>0.23764705882352941</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2018-06-27T09:17:06Z</dcterms:modified>
</cp:coreProperties>
</file>