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L5"/>
  <c r="J81" i="14"/>
  <c r="D8" i="48"/>
  <c r="D25" s="1"/>
  <c r="D18" i="16"/>
  <c r="D22" s="1"/>
  <c r="E39" i="14" s="1"/>
  <c r="L21" i="48"/>
  <c r="B14" i="22"/>
  <c r="B9" i="48" s="1"/>
  <c r="I17" i="14"/>
  <c r="H12" i="22"/>
  <c r="D16" i="15"/>
  <c r="D20" s="1"/>
  <c r="B35" i="13"/>
  <c r="N8" i="17"/>
  <c r="I100" i="18"/>
  <c r="H7" s="1"/>
  <c r="E100"/>
  <c r="E7" s="1"/>
  <c r="H100"/>
  <c r="D100"/>
  <c r="G100"/>
  <c r="C100"/>
  <c r="F100"/>
  <c r="B100"/>
  <c r="C7" s="1"/>
  <c r="G31" i="20"/>
  <c r="H43" i="14" s="1"/>
  <c r="G12" i="22"/>
  <c r="D81" i="14"/>
  <c r="O79"/>
  <c r="O81" s="1"/>
  <c r="B17" i="6" s="1"/>
  <c r="C7" i="48"/>
  <c r="D22" i="14"/>
  <c r="M23" i="48"/>
  <c r="L30"/>
  <c r="L23"/>
  <c r="M28"/>
  <c r="M22"/>
  <c r="D9"/>
  <c r="D26" s="1"/>
  <c r="D14" i="22"/>
  <c r="N17" i="14"/>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M22" i="14"/>
  <c r="L7" i="48"/>
  <c r="L24" s="1"/>
  <c r="L12" i="17"/>
  <c r="M48" i="14" s="1"/>
  <c r="M13" i="48"/>
  <c r="M51" i="22"/>
  <c r="M50" s="1"/>
  <c r="M54" s="1"/>
  <c r="M10" i="48" s="1"/>
  <c r="M27" s="1"/>
  <c r="H31" i="20"/>
  <c r="I43" i="14" s="1"/>
  <c r="H13" i="48"/>
  <c r="H30" s="1"/>
  <c r="M31" i="20"/>
  <c r="N43" i="14" s="1"/>
  <c r="G50" i="22"/>
  <c r="G54" s="1"/>
  <c r="H18" i="14" s="1"/>
  <c r="G13" i="48"/>
  <c r="G30" s="1"/>
  <c r="H17" i="14"/>
  <c r="R17" s="1"/>
  <c r="M5" i="22"/>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E19"/>
  <c r="E20" s="1"/>
  <c r="O28" i="48"/>
  <c r="H22"/>
  <c r="K31"/>
  <c r="L26"/>
  <c r="M30"/>
  <c r="M29"/>
  <c r="M25"/>
  <c r="M24"/>
  <c r="I31"/>
  <c r="C50" i="13"/>
  <c r="J5" s="1"/>
  <c r="J8" s="1"/>
  <c r="C5" i="48"/>
  <c r="C14" s="1"/>
  <c r="E7" l="1"/>
  <c r="E24" s="1"/>
  <c r="E12" i="17"/>
  <c r="F48" i="14" s="1"/>
  <c r="M14" i="22"/>
  <c r="M18" s="1"/>
  <c r="N45" i="14" s="1"/>
  <c r="N46" s="1"/>
  <c r="N53" s="1"/>
  <c r="I7" i="18"/>
  <c r="I9" s="1"/>
  <c r="G14" i="22"/>
  <c r="E13" i="14"/>
  <c r="J7" i="18"/>
  <c r="K67" i="14" s="1"/>
  <c r="K69" s="1"/>
  <c r="E10"/>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H18" i="22"/>
  <c r="I45" i="14" s="1"/>
  <c r="I46" s="1"/>
  <c r="I53" s="1"/>
  <c r="I19"/>
  <c r="I20" s="1"/>
  <c r="I23" s="1"/>
  <c r="H9" i="48"/>
  <c r="P14"/>
  <c r="B8"/>
  <c r="J55" i="14"/>
  <c r="L55"/>
  <c r="E36"/>
  <c r="E41" s="1"/>
  <c r="N20" i="15"/>
  <c r="O36" i="14" s="1"/>
  <c r="O10"/>
  <c r="L5" i="48"/>
  <c r="L22" s="1"/>
  <c r="L31"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J67" i="14"/>
  <c r="C67" s="1"/>
  <c r="C69" s="1"/>
  <c r="J5" i="48"/>
  <c r="J22" s="1"/>
  <c r="Q7"/>
  <c r="J20" i="15"/>
  <c r="K36" i="14" s="1"/>
  <c r="E15"/>
  <c r="E23" s="1"/>
  <c r="D14" i="48"/>
  <c r="N18" i="16"/>
  <c r="N8" i="48" s="1"/>
  <c r="J18" i="16"/>
  <c r="J8" i="48" s="1"/>
  <c r="J25" s="1"/>
  <c r="D69" i="14"/>
  <c r="O67"/>
  <c r="F18" i="16"/>
  <c r="G13" i="14" s="1"/>
  <c r="G15" s="1"/>
  <c r="G23" s="1"/>
  <c r="E18" i="16"/>
  <c r="E8" i="48" s="1"/>
  <c r="E20" i="15"/>
  <c r="F36" i="14" s="1"/>
  <c r="C78"/>
  <c r="C81" s="1"/>
  <c r="K81"/>
  <c r="O14" i="48"/>
  <c r="G9"/>
  <c r="G26" s="1"/>
  <c r="G31" s="1"/>
  <c r="H19" i="14"/>
  <c r="H20" s="1"/>
  <c r="H23" s="1"/>
  <c r="Q10" i="48"/>
  <c r="H46" i="14"/>
  <c r="H53" s="1"/>
  <c r="N19"/>
  <c r="N20" s="1"/>
  <c r="N23" s="1"/>
  <c r="N55" s="1"/>
  <c r="M9" i="48"/>
  <c r="Q9" s="1"/>
  <c r="I55" i="14"/>
  <c r="H26" i="48"/>
  <c r="H31" s="1"/>
  <c r="H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N22" i="16"/>
  <c r="O39" i="14" s="1"/>
  <c r="O41" s="1"/>
  <c r="Q4" i="48"/>
  <c r="N22"/>
  <c r="R11" i="14"/>
  <c r="J21" i="48"/>
  <c r="R10" i="14"/>
  <c r="Q5" i="48" l="1"/>
  <c r="J14"/>
  <c r="K13" i="14"/>
  <c r="K15" s="1"/>
  <c r="K23" s="1"/>
  <c r="K55" s="1"/>
  <c r="J31" i="48"/>
  <c r="F22" i="16"/>
  <c r="G39" i="14" s="1"/>
  <c r="G41" s="1"/>
  <c r="E55"/>
  <c r="J69"/>
  <c r="F8" i="48"/>
  <c r="E25"/>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F25"/>
  <c r="F31" s="1"/>
  <c r="F14"/>
  <c r="Q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<sst xmlns="http://schemas.openxmlformats.org/spreadsheetml/2006/main" count="2090" uniqueCount="907">
  <si>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</si>
  <si>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</si>
  <si>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</si>
  <si>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</si>
  <si>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</si>
  <si>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</si>
  <si>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</si>
  <si>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</si>
  <si>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</si>
  <si>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</si>
  <si>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</si>
  <si>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</si>
  <si>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</si>
  <si>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</si>
  <si>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</si>
  <si>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</si>
  <si>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</si>
  <si>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</si>
  <si>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</si>
  <si>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</si>
  <si>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</si>
  <si>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</si>
  <si>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</si>
  <si>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</si>
  <si>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</si>
  <si>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</si>
  <si>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</si>
  <si>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</si>
  <si>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</si>
  <si>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</si>
  <si>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</si>
  <si>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</si>
  <si>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</si>
  <si>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</si>
  <si>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</si>
  <si>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</si>
  <si>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</si>
  <si>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</si>
  <si>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</si>
  <si>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</si>
  <si>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</si>
  <si>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</si>
  <si>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</si>
  <si>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</si>
  <si>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</si>
  <si>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</si>
  <si>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</si>
  <si>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</si>
  <si>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</si>
  <si>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</si>
  <si>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</si>
  <si>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</si>
  <si>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</si>
  <si>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</si>
  <si>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</si>
  <si>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</si>
  <si>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</si>
  <si>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</si>
  <si>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</si>
  <si>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</si>
  <si>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</si>
  <si>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</si>
  <si>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</si>
  <si>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</si>
  <si>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</si>
  <si>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</si>
  <si>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</si>
  <si>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</si>
  <si>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</si>
  <si>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</si>
  <si>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</si>
  <si>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</si>
  <si>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</si>
  <si>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</si>
  <si>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</si>
  <si>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</si>
  <si>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</si>
  <si>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</si>
  <si>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</si>
  <si>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</si>
  <si>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</si>
  <si>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</si>
  <si>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</si>
  <si>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</si>
  <si>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</si>
  <si>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</si>
  <si>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</si>
  <si>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</si>
  <si>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</si>
  <si>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</si>
  <si>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</si>
  <si>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</si>
  <si>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</si>
  <si>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</si>
  <si>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</si>
  <si>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</si>
  <si>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</si>
  <si>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</si>
  <si>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</si>
  <si>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</si>
  <si>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</si>
  <si>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</si>
  <si>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</si>
  <si>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</si>
  <si>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</si>
  <si>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</si>
  <si>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</si>
  <si>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</si>
  <si>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</si>
  <si>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</si>
  <si>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</si>
  <si>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</si>
  <si>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</si>
  <si>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</si>
  <si>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</si>
  <si>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</si>
  <si>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</si>
  <si>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</si>
  <si>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</si>
  <si>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</si>
  <si>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</si>
  <si>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</si>
  <si>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</si>
  <si>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</si>
  <si>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</si>
  <si>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</si>
  <si>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</si>
  <si>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</si>
  <si>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</si>
  <si>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</si>
  <si>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</si>
  <si>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</si>
  <si>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</si>
  <si>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</si>
  <si>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</si>
  <si>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</si>
  <si>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</si>
  <si>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</si>
  <si>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</si>
  <si>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</si>
  <si>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</si>
  <si>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</si>
  <si>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</si>
  <si>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</si>
  <si>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</si>
  <si>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</si>
  <si>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</si>
  <si>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</si>
  <si>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</si>
  <si>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</si>
  <si>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</si>
  <si>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</si>
  <si>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</si>
  <si>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</si>
  <si>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</si>
  <si>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</si>
  <si>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</si>
  <si>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</si>
  <si>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</si>
  <si>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</si>
  <si>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</si>
  <si>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</si>
  <si>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</si>
  <si>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</si>
  <si>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</si>
  <si>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</si>
  <si>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</si>
  <si>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</si>
  <si>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</si>
  <si>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</si>
  <si>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</si>
  <si>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</si>
  <si>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</si>
  <si>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</si>
  <si>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</si>
  <si>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</si>
  <si>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</si>
  <si>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</si>
  <si>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</si>
  <si>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</si>
  <si>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</si>
  <si>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</si>
  <si>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</si>
  <si>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</si>
  <si>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</si>
  <si>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</si>
  <si>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</si>
  <si>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</si>
  <si>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</si>
  <si>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</si>
  <si>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</si>
  <si>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</si>
  <si>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</si>
  <si>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</si>
  <si>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</si>
  <si>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</si>
  <si>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</si>
  <si>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</si>
  <si>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</si>
  <si>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</si>
  <si>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</si>
  <si>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</si>
  <si>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</si>
  <si>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</si>
  <si>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</si>
  <si>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</si>
  <si>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</si>
  <si>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</si>
  <si>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</si>
  <si>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</si>
  <si>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</si>
  <si>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</si>
  <si>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</si>
  <si>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</si>
  <si>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</si>
  <si>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</si>
  <si>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</si>
  <si>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</si>
  <si>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</si>
  <si>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</si>
  <si>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</si>
  <si>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</si>
  <si>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</si>
  <si>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</si>
  <si>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</si>
  <si>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</si>
  <si>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</si>
  <si>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</si>
  <si>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</si>
  <si>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</si>
  <si>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</si>
  <si>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</si>
  <si>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</si>
  <si>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</si>
  <si>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</si>
  <si>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</si>
  <si>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</si>
  <si>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</si>
  <si>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</si>
  <si>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</si>
  <si>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</si>
  <si>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</si>
  <si>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</si>
  <si>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</si>
  <si>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</si>
  <si>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</si>
  <si>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</si>
  <si>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</si>
  <si>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</si>
  <si>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</si>
  <si>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</si>
  <si>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</si>
  <si>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</si>
  <si>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</si>
  <si>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</si>
  <si>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</si>
  <si>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</si>
  <si>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</si>
  <si>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</si>
  <si>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</si>
  <si>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</si>
  <si>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</si>
  <si>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</si>
  <si>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</si>
  <si>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</si>
  <si>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</si>
  <si>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</si>
  <si>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</si>
  <si>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</si>
  <si>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</si>
  <si>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</si>
  <si>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</si>
  <si>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</si>
  <si>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</si>
  <si>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</si>
  <si>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</si>
  <si>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</si>
  <si>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</si>
  <si>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</si>
  <si>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</si>
  <si>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</si>
  <si>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</si>
  <si>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</si>
  <si>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</si>
  <si>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</si>
  <si>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</si>
  <si>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</si>
  <si>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</si>
  <si>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</si>
  <si>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</si>
  <si>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</si>
  <si>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</si>
  <si>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</si>
  <si>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</si>
  <si>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</si>
  <si>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</si>
  <si>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</si>
  <si>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</si>
  <si>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</si>
  <si>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</si>
  <si>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</si>
  <si>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</si>
  <si>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</si>
  <si>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</si>
  <si>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</si>
  <si>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</si>
  <si>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</si>
  <si>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</si>
  <si>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</si>
  <si>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</si>
  <si>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</si>
  <si>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</si>
  <si>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</si>
  <si>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</si>
  <si>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</si>
  <si>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</si>
  <si>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</si>
  <si>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</si>
  <si>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</si>
  <si>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</si>
  <si>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</si>
  <si>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</si>
  <si>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</si>
  <si>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</si>
  <si>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</si>
  <si>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</si>
  <si>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</si>
  <si>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</si>
  <si>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</si>
  <si>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</si>
  <si>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</si>
  <si>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</si>
  <si>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</si>
  <si>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</si>
  <si>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</si>
  <si>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</si>
  <si>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</si>
  <si>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</si>
  <si>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</si>
  <si>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</si>
  <si>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</si>
  <si>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</si>
  <si>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</si>
  <si>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</si>
  <si>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</si>
  <si>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</si>
  <si>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</si>
  <si>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</si>
  <si>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</si>
  <si>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</si>
  <si>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</si>
  <si>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</si>
  <si>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</si>
  <si>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</si>
  <si>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</si>
  <si>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</si>
  <si>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</si>
  <si>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</si>
  <si>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</si>
  <si>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</si>
  <si>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</si>
  <si>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</si>
  <si>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</si>
  <si>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</si>
  <si>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</si>
  <si>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</si>
  <si>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</si>
  <si>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</si>
  <si>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</si>
  <si>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</si>
  <si>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</si>
  <si>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</si>
  <si>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</si>
  <si>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</si>
  <si>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</si>
  <si>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</si>
  <si>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</si>
  <si>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</si>
  <si>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</si>
  <si>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</si>
  <si>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</si>
  <si>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</si>
  <si>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</si>
  <si>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</si>
  <si>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</si>
  <si>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</si>
  <si>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</si>
  <si>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</si>
  <si>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</si>
  <si>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</si>
  <si>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</si>
  <si>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</si>
  <si>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</si>
  <si>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</si>
  <si>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</si>
  <si>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</si>
  <si>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</si>
  <si>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</si>
  <si>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</si>
  <si>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</si>
  <si>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</si>
  <si>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</si>
  <si>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</si>
  <si>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</si>
  <si>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</si>
  <si>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</si>
  <si>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</si>
  <si>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</si>
  <si>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</si>
  <si>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</si>
  <si>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</si>
  <si>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</si>
  <si>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</si>
  <si>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</si>
  <si>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</si>
  <si>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</si>
  <si>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</si>
  <si>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</si>
  <si>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</si>
  <si>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</si>
  <si>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</si>
  <si>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</si>
  <si>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</si>
  <si>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</si>
  <si>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</si>
  <si>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</si>
  <si>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</si>
  <si>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</si>
  <si>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</si>
  <si>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</si>
  <si>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</si>
  <si>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</si>
  <si>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</si>
  <si>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</si>
  <si>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</si>
  <si>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</si>
  <si>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</si>
  <si>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</si>
  <si>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</si>
  <si>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</si>
  <si>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</si>
  <si>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</si>
  <si>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</si>
  <si>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</si>
  <si>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</si>
  <si>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</si>
  <si>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</si>
  <si>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</si>
  <si>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</si>
  <si>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</si>
  <si>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</si>
  <si>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</si>
  <si>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</si>
  <si>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</si>
  <si>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</si>
  <si>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</si>
  <si>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</si>
  <si>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</si>
  <si>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</si>
  <si>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</si>
  <si>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</si>
  <si>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</si>
  <si>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</si>
  <si>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</si>
  <si>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</si>
  <si>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</si>
  <si>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</si>
  <si>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</si>
  <si>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</si>
  <si>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</si>
  <si>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</si>
  <si>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</si>
  <si>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</si>
  <si>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</si>
  <si>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</si>
  <si>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</si>
  <si>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</si>
  <si>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</si>
  <si>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</si>
  <si>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</si>
  <si>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</si>
  <si>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</si>
  <si>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</si>
  <si>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</si>
  <si>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</si>
  <si>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</si>
  <si>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</si>
  <si>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</si>
  <si>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</si>
  <si>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</si>
  <si>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</si>
  <si>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</si>
  <si>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</si>
  <si>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</si>
  <si>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</si>
  <si>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</si>
  <si>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</si>
  <si>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</si>
  <si>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</si>
  <si>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</si>
  <si>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</si>
  <si>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</si>
  <si>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</si>
  <si>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</si>
  <si>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</si>
  <si>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</si>
  <si>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</si>
  <si>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</si>
  <si>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</si>
  <si>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</si>
  <si>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</si>
  <si>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</si>
  <si>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</si>
  <si>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</si>
  <si>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</si>
  <si>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</si>
  <si>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</si>
  <si>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</si>
  <si>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</si>
  <si>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</si>
  <si>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</si>
  <si>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</si>
  <si>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</si>
  <si>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</si>
  <si>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</si>
  <si>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</si>
  <si>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</si>
  <si>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</si>
  <si>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</si>
  <si>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</si>
  <si>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</si>
  <si>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</si>
  <si>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</si>
  <si>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</si>
  <si>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</si>
  <si>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</si>
  <si>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</si>
  <si>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</si>
  <si>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</si>
  <si>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</si>
  <si>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</si>
  <si>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</si>
  <si>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</si>
  <si>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</si>
  <si>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</si>
  <si>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</si>
  <si>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</si>
  <si>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</si>
  <si>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</si>
  <si>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</si>
  <si>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</si>
  <si>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</si>
  <si>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</si>
  <si>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</si>
  <si>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</si>
  <si>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</si>
  <si>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</si>
  <si>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</si>
  <si>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</si>
  <si>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</si>
  <si>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</si>
  <si>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</si>
  <si>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</si>
  <si>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</si>
  <si>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</si>
  <si>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</si>
  <si>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</si>
  <si>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</si>
  <si>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</si>
  <si>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</si>
  <si>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</si>
  <si>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</si>
  <si>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</si>
  <si>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</si>
  <si>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</si>
  <si>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</si>
  <si>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</si>
  <si>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</si>
  <si>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</si>
  <si>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</si>
  <si>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</si>
  <si>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</si>
  <si>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</si>
  <si>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</si>
  <si>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</si>
  <si>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</si>
  <si>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</si>
  <si>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</si>
  <si>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</si>
  <si>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</si>
  <si>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</si>
  <si>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</si>
  <si>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</si>
  <si>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</si>
  <si>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</si>
  <si>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</si>
  <si>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</si>
  <si>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</si>
  <si>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</si>
  <si>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</si>
  <si>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</si>
  <si>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</si>
  <si>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</si>
  <si>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</si>
  <si>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</si>
  <si>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</si>
  <si>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</si>
  <si>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</si>
  <si>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</si>
  <si>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</si>
  <si>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</si>
  <si>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</si>
  <si>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</si>
  <si>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</si>
  <si>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</si>
  <si>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</si>
  <si>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</si>
  <si>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</si>
  <si>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</si>
  <si>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</si>
  <si>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</si>
  <si>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</si>
  <si>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</si>
  <si>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</si>
  <si>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</si>
  <si>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</si>
  <si>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</si>
  <si>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</si>
  <si>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</si>
  <si>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</si>
  <si>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</si>
  <si>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</si>
  <si>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</si>
  <si>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</si>
  <si>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</si>
  <si>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</si>
  <si>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</si>
  <si>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</si>
  <si>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</si>
  <si>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</si>
  <si>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</si>
  <si>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</si>
  <si>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</si>
  <si>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</si>
  <si>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</si>
  <si>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</si>
  <si>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</si>
  <si>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</si>
  <si>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</si>
  <si>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</si>
  <si>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</si>
  <si>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</si>
  <si>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</si>
  <si>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</si>
  <si>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</si>
  <si>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</si>
  <si>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</si>
  <si>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</si>
  <si>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</si>
  <si>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</si>
  <si>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</si>
  <si>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</si>
  <si>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</si>
  <si>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</si>
  <si>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</si>
  <si>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</si>
  <si>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</si>
  <si>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</si>
  <si>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</si>
  <si>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</si>
  <si>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</si>
  <si>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</si>
  <si>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</si>
  <si>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</si>
  <si>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</si>
  <si>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</si>
  <si>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</si>
  <si>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</si>
  <si>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</si>
  <si>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</si>
  <si>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</si>
  <si>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</si>
  <si>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</si>
  <si>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</si>
  <si>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</si>
  <si>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</si>
  <si>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</si>
  <si>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</si>
  <si>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</si>
  <si>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</si>
  <si>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</si>
  <si>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</si>
  <si>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</si>
  <si>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</si>
  <si>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</si>
  <si>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</si>
  <si>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</si>
  <si>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</si>
  <si>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</si>
  <si>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</si>
  <si>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</si>
  <si>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</si>
  <si>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</si>
  <si>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</si>
  <si>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</si>
  <si>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</si>
  <si>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</si>
  <si>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</si>
  <si>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</si>
  <si>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</si>
  <si>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</si>
  <si>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</si>
  <si>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</si>
  <si>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</si>
  <si>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</si>
  <si>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</si>
  <si>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</si>
  <si>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</si>
  <si>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</si>
  <si>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</si>
  <si>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</si>
  <si>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</si>
  <si>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</si>
  <si>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</si>
  <si>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</si>
  <si>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</si>
  <si>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</si>
  <si>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</si>
  <si>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</si>
  <si>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</si>
  <si>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</si>
  <si>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</si>
  <si>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</si>
  <si>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</si>
  <si>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</si>
  <si>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</si>
  <si>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</si>
  <si>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</si>
  <si>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</si>
  <si>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</si>
  <si>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</si>
  <si>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</si>
  <si>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</si>
  <si>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</si>
  <si>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</si>
  <si>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</si>
  <si>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</si>
  <si>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</si>
  <si>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</si>
  <si>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</si>
  <si>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</si>
  <si>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</si>
  <si>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</si>
  <si>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</si>
  <si>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</si>
  <si>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</si>
  <si>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</si>
  <si>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</si>
  <si>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</si>
  <si>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</si>
  <si>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</si>
  <si>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</si>
  <si>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</si>
  <si>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</si>
  <si>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</si>
  <si>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</si>
  <si>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</si>
  <si>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</si>
  <si>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</si>
  <si>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</si>
  <si>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</si>
  <si>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</si>
  <si>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</si>
  <si>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</si>
  <si>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</si>
  <si>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</si>
  <si>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</si>
  <si>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</si>
  <si>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</si>
  <si>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</si>
  <si>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</si>
  <si>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</si>
  <si>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</si>
  <si>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</si>
  <si>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</si>
  <si>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</si>
  <si>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</si>
  <si>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</si>
  <si>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</si>
  <si>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</si>
  <si>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</si>
  <si>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</si>
  <si>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</si>
  <si>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</si>
  <si>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</si>
  <si>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</si>
  <si>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</si>
  <si>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</si>
  <si>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</si>
  <si>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</si>
  <si>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</si>
  <si>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</si>
  <si>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</si>
  <si>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</si>
  <si>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</si>
  <si>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</si>
  <si>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</si>
  <si>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</si>
  <si>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</si>
  <si>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</si>
  <si>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</si>
  <si>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</si>
  <si>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</si>
  <si>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</si>
  <si>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</si>
  <si>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</si>
  <si>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</si>
  <si>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</si>
  <si>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</si>
  <si>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</si>
  <si>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</si>
  <si>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</si>
  <si>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</si>
  <si>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</si>
  <si>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</si>
  <si>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</si>
  <si>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</si>
  <si>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</si>
  <si>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</si>
  <si>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</si>
  <si>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</si>
  <si>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</si>
  <si>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</si>
  <si>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</si>
  <si>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</si>
  <si>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</si>
  <si>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</si>
  <si>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</si>
  <si>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</si>
  <si>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</si>
  <si>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</si>
  <si>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</si>
  <si>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</si>
  <si>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</si>
  <si>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</si>
  <si>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</si>
  <si>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</si>
  <si>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</si>
  <si>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</si>
  <si>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</si>
  <si>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</si>
  <si>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</si>
  <si>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</si>
  <si>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</si>
  <si>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</si>
  <si>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</si>
  <si>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</si>
  <si>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</si>
  <si>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</si>
  <si>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</si>
  <si>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</si>
  <si>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</si>
  <si>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</si>
  <si>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</si>
  <si>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</si>
  <si>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</si>
  <si>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</si>
  <si>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</si>
  <si>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</si>
  <si>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</si>
  <si>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</si>
  <si>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12029</t>
  </si>
  <si>
    <t>PUTTE</t>
  </si>
  <si>
    <t>Paarden&amp;pony's 200 - 600 kg</t>
  </si>
  <si>
    <t>Paarden&amp;pony's &lt; 200 kg</t>
  </si>
  <si>
    <t>op basis van VEA (maart 2018) en Inventaris Hernieuwbare Energiebronnen (juni 2018)</t>
  </si>
  <si>
    <t>VEA (juni 2018)</t>
  </si>
  <si>
    <t>Peemat bvba</t>
  </si>
  <si>
    <t>Mechelbaan 685, 2580 Putte</t>
  </si>
  <si>
    <t>WKK-0062 Peemat</t>
  </si>
  <si>
    <t>interne verbrandingsmotor</t>
  </si>
  <si>
    <t>WKK interne verbrandinsgmotor (gas)</t>
  </si>
  <si>
    <t>IVERLEK</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</si>
  <si>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</si>
  <si>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</si>
  <si>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</si>
  <si>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</si>
  <si>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</si>
  <si>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</si>
  <si>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</si>
  <si>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</si>
  <si>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</si>
  <si>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</si>
  <si>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</si>
  <si>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</si>
  <si>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</si>
  <si>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</si>
  <si>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</si>
  <si>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</si>
  <si>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</si>
  <si>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</si>
  <si>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</si>
  <si>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</si>
  <si>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</si>
  <si>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Tuinbouwbedrijf Van Bulck bvba</t>
  </si>
  <si>
    <t>Steenbeek 1, 2580 Putte</t>
  </si>
  <si>
    <t>WKK-0078 Van Bulck bvba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</si>
</sst>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12029</v>
      </c>
      <c r="B6" s="397"/>
      <c r="C6" s="398"/>
    </row>
    <row r="7" spans="1:7" s="395" customFormat="1" ht="15.75" customHeight="1">
      <c r="A7" s="399" t="str">
        <f>txtMunicipality</f>
        <v>PUTTE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13833.022345291734</v>
      </c>
      <c r="D10" s="703">
        <f ca="1">tertiair!C16</f>
        <v>0</v>
      </c>
      <c r="E10" s="703">
        <f ca="1">tertiair!D16</f>
        <v>40325.951593125792</v>
      </c>
      <c r="F10" s="703">
        <f>tertiair!E16</f>
        <v>136.11658449490457</v>
      </c>
      <c r="G10" s="703">
        <f ca="1">tertiair!F16</f>
        <v>2492.4064101107429</v>
      </c>
      <c r="H10" s="703">
        <f>tertiair!G16</f>
        <v>0</v>
      </c>
      <c r="I10" s="703">
        <f>tertiair!H16</f>
        <v>0</v>
      </c>
      <c r="J10" s="703">
        <f>tertiair!I16</f>
        <v>0</v>
      </c>
      <c r="K10" s="703">
        <f>tertiair!J16</f>
        <v>0</v>
      </c>
      <c r="L10" s="703">
        <f>tertiair!K16</f>
        <v>0</v>
      </c>
      <c r="M10" s="703">
        <f ca="1">tertiair!L16</f>
        <v>0</v>
      </c>
      <c r="N10" s="703">
        <f>tertiair!M16</f>
        <v>0</v>
      </c>
      <c r="O10" s="703">
        <f ca="1">tertiair!N16</f>
        <v>563.36122270221563</v>
      </c>
      <c r="P10" s="703">
        <f>tertiair!O16</f>
        <v>0</v>
      </c>
      <c r="Q10" s="704">
        <f>tertiair!P16</f>
        <v>0</v>
      </c>
      <c r="R10" s="706">
        <f ca="1">SUM(C10:Q10)</f>
        <v>57350.858155725393</v>
      </c>
      <c r="S10" s="68"/>
    </row>
    <row r="11" spans="1:19" s="458" customFormat="1">
      <c r="A11" s="859" t="s">
        <v>225</v>
      </c>
      <c r="B11" s="864"/>
      <c r="C11" s="703">
        <f>huishoudens!B8</f>
        <v>33121.97795241548</v>
      </c>
      <c r="D11" s="703">
        <f>huishoudens!C8</f>
        <v>0</v>
      </c>
      <c r="E11" s="703">
        <f>huishoudens!D8</f>
        <v>54090.922408069775</v>
      </c>
      <c r="F11" s="703">
        <f>huishoudens!E8</f>
        <v>5293.1423409006366</v>
      </c>
      <c r="G11" s="703">
        <f>huishoudens!F8</f>
        <v>40095.652969110844</v>
      </c>
      <c r="H11" s="703">
        <f>huishoudens!G8</f>
        <v>0</v>
      </c>
      <c r="I11" s="703">
        <f>huishoudens!H8</f>
        <v>0</v>
      </c>
      <c r="J11" s="703">
        <f>huishoudens!I8</f>
        <v>0</v>
      </c>
      <c r="K11" s="703">
        <f>huishoudens!J8</f>
        <v>56.802633878717614</v>
      </c>
      <c r="L11" s="703">
        <f>huishoudens!K8</f>
        <v>0</v>
      </c>
      <c r="M11" s="703">
        <f>huishoudens!L8</f>
        <v>0</v>
      </c>
      <c r="N11" s="703">
        <f>huishoudens!M8</f>
        <v>0</v>
      </c>
      <c r="O11" s="703">
        <f>huishoudens!N8</f>
        <v>11255.163570239754</v>
      </c>
      <c r="P11" s="703">
        <f>huishoudens!O8</f>
        <v>110.99666666666667</v>
      </c>
      <c r="Q11" s="704">
        <f>huishoudens!P8</f>
        <v>495.73333333333335</v>
      </c>
      <c r="R11" s="706">
        <f>SUM(C11:Q11)</f>
        <v>144520.39187461522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7439.5504006084575</v>
      </c>
      <c r="D13" s="703">
        <f>industrie!C18</f>
        <v>0</v>
      </c>
      <c r="E13" s="703">
        <f>industrie!D18</f>
        <v>4758.0455370882792</v>
      </c>
      <c r="F13" s="703">
        <f>industrie!E18</f>
        <v>67.986176885626037</v>
      </c>
      <c r="G13" s="703">
        <f>industrie!F18</f>
        <v>2229.4004131355377</v>
      </c>
      <c r="H13" s="703">
        <f>industrie!G18</f>
        <v>0</v>
      </c>
      <c r="I13" s="703">
        <f>industrie!H18</f>
        <v>0</v>
      </c>
      <c r="J13" s="703">
        <f>industrie!I18</f>
        <v>0</v>
      </c>
      <c r="K13" s="703">
        <f>industrie!J18</f>
        <v>31.672752870027495</v>
      </c>
      <c r="L13" s="703">
        <f>industrie!K18</f>
        <v>0</v>
      </c>
      <c r="M13" s="703">
        <f>industrie!L18</f>
        <v>0</v>
      </c>
      <c r="N13" s="703">
        <f>industrie!M18</f>
        <v>0</v>
      </c>
      <c r="O13" s="703">
        <f>industrie!N18</f>
        <v>313.58119731018968</v>
      </c>
      <c r="P13" s="703">
        <f>industrie!O18</f>
        <v>0</v>
      </c>
      <c r="Q13" s="704">
        <f>industrie!P18</f>
        <v>0</v>
      </c>
      <c r="R13" s="706">
        <f>SUM(C13:Q13)</f>
        <v>14840.236477898117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54394.550698315674</v>
      </c>
      <c r="D15" s="708">
        <f t="shared" ref="D15:Q15" ca="1" si="0">SUM(D9:D14)</f>
        <v>0</v>
      </c>
      <c r="E15" s="708">
        <f t="shared" ca="1" si="0"/>
        <v>99174.919538283852</v>
      </c>
      <c r="F15" s="708">
        <f t="shared" si="0"/>
        <v>5497.2451022811674</v>
      </c>
      <c r="G15" s="708">
        <f t="shared" ca="1" si="0"/>
        <v>44817.459792357127</v>
      </c>
      <c r="H15" s="708">
        <f t="shared" si="0"/>
        <v>0</v>
      </c>
      <c r="I15" s="708">
        <f t="shared" si="0"/>
        <v>0</v>
      </c>
      <c r="J15" s="708">
        <f t="shared" si="0"/>
        <v>0</v>
      </c>
      <c r="K15" s="708">
        <f t="shared" si="0"/>
        <v>88.475386748745109</v>
      </c>
      <c r="L15" s="708">
        <f t="shared" si="0"/>
        <v>0</v>
      </c>
      <c r="M15" s="708">
        <f t="shared" ca="1" si="0"/>
        <v>0</v>
      </c>
      <c r="N15" s="708">
        <f t="shared" si="0"/>
        <v>0</v>
      </c>
      <c r="O15" s="708">
        <f t="shared" ca="1" si="0"/>
        <v>12132.105990252159</v>
      </c>
      <c r="P15" s="708">
        <f t="shared" si="0"/>
        <v>110.99666666666667</v>
      </c>
      <c r="Q15" s="709">
        <f t="shared" si="0"/>
        <v>495.73333333333335</v>
      </c>
      <c r="R15" s="710">
        <f ca="1">SUM(R9:R14)</f>
        <v>216711.48650823874</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1645.3626842862957</v>
      </c>
      <c r="I18" s="703">
        <f>transport!H54</f>
        <v>0</v>
      </c>
      <c r="J18" s="703">
        <f>transport!I54</f>
        <v>0</v>
      </c>
      <c r="K18" s="703">
        <f>transport!J54</f>
        <v>0</v>
      </c>
      <c r="L18" s="703">
        <f>transport!K54</f>
        <v>0</v>
      </c>
      <c r="M18" s="703">
        <f>transport!L54</f>
        <v>0</v>
      </c>
      <c r="N18" s="703">
        <f>transport!M54</f>
        <v>72.250589662534878</v>
      </c>
      <c r="O18" s="703">
        <f>transport!N54</f>
        <v>0</v>
      </c>
      <c r="P18" s="703">
        <f>transport!O54</f>
        <v>0</v>
      </c>
      <c r="Q18" s="704">
        <f>transport!P54</f>
        <v>0</v>
      </c>
      <c r="R18" s="706">
        <f>SUM(C18:Q18)</f>
        <v>1717.6132739488305</v>
      </c>
      <c r="S18" s="68"/>
    </row>
    <row r="19" spans="1:19" s="458" customFormat="1" ht="15" thickBot="1">
      <c r="A19" s="859" t="s">
        <v>307</v>
      </c>
      <c r="B19" s="864"/>
      <c r="C19" s="712">
        <f>transport!B14</f>
        <v>2.553498693923911</v>
      </c>
      <c r="D19" s="712">
        <f>transport!C14</f>
        <v>0</v>
      </c>
      <c r="E19" s="712">
        <f>transport!D14</f>
        <v>7.0947377920021975</v>
      </c>
      <c r="F19" s="712">
        <f>transport!E14</f>
        <v>411.03725977421203</v>
      </c>
      <c r="G19" s="712">
        <f>transport!F14</f>
        <v>0</v>
      </c>
      <c r="H19" s="712">
        <f>transport!G14</f>
        <v>74433.316684850826</v>
      </c>
      <c r="I19" s="712">
        <f>transport!H14</f>
        <v>15753.911412490559</v>
      </c>
      <c r="J19" s="712">
        <f>transport!I14</f>
        <v>0</v>
      </c>
      <c r="K19" s="712">
        <f>transport!J14</f>
        <v>0</v>
      </c>
      <c r="L19" s="712">
        <f>transport!K14</f>
        <v>0</v>
      </c>
      <c r="M19" s="712">
        <f>transport!L14</f>
        <v>0</v>
      </c>
      <c r="N19" s="712">
        <f>transport!M14</f>
        <v>4035.1614479095115</v>
      </c>
      <c r="O19" s="712">
        <f>transport!N14</f>
        <v>0</v>
      </c>
      <c r="P19" s="712">
        <f>transport!O14</f>
        <v>0</v>
      </c>
      <c r="Q19" s="713">
        <f>transport!P14</f>
        <v>0</v>
      </c>
      <c r="R19" s="714">
        <f>SUM(C19:Q19)</f>
        <v>94643.075041511038</v>
      </c>
      <c r="S19" s="68"/>
    </row>
    <row r="20" spans="1:19" s="458" customFormat="1" ht="15.75" thickBot="1">
      <c r="A20" s="715" t="s">
        <v>230</v>
      </c>
      <c r="B20" s="867"/>
      <c r="C20" s="862">
        <f>SUM(C17:C19)</f>
        <v>2.553498693923911</v>
      </c>
      <c r="D20" s="716">
        <f t="shared" ref="D20:R20" si="1">SUM(D17:D19)</f>
        <v>0</v>
      </c>
      <c r="E20" s="716">
        <f t="shared" si="1"/>
        <v>7.0947377920021975</v>
      </c>
      <c r="F20" s="716">
        <f t="shared" si="1"/>
        <v>411.03725977421203</v>
      </c>
      <c r="G20" s="716">
        <f t="shared" si="1"/>
        <v>0</v>
      </c>
      <c r="H20" s="716">
        <f t="shared" si="1"/>
        <v>76078.679369137128</v>
      </c>
      <c r="I20" s="716">
        <f t="shared" si="1"/>
        <v>15753.911412490559</v>
      </c>
      <c r="J20" s="716">
        <f t="shared" si="1"/>
        <v>0</v>
      </c>
      <c r="K20" s="716">
        <f t="shared" si="1"/>
        <v>0</v>
      </c>
      <c r="L20" s="716">
        <f t="shared" si="1"/>
        <v>0</v>
      </c>
      <c r="M20" s="716">
        <f t="shared" si="1"/>
        <v>0</v>
      </c>
      <c r="N20" s="716">
        <f t="shared" si="1"/>
        <v>4107.4120375720468</v>
      </c>
      <c r="O20" s="716">
        <f t="shared" si="1"/>
        <v>0</v>
      </c>
      <c r="P20" s="716">
        <f t="shared" si="1"/>
        <v>0</v>
      </c>
      <c r="Q20" s="717">
        <f t="shared" si="1"/>
        <v>0</v>
      </c>
      <c r="R20" s="718">
        <f t="shared" si="1"/>
        <v>96360.688315459862</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2332.450017362376</v>
      </c>
      <c r="D22" s="712">
        <f>+landbouw!C8</f>
        <v>67025.410714285725</v>
      </c>
      <c r="E22" s="712">
        <f>+landbouw!D8</f>
        <v>0</v>
      </c>
      <c r="F22" s="712">
        <f>+landbouw!E8</f>
        <v>21.973241956329662</v>
      </c>
      <c r="G22" s="712">
        <f>+landbouw!F8</f>
        <v>4635.9334788326514</v>
      </c>
      <c r="H22" s="712">
        <f>+landbouw!G8</f>
        <v>0</v>
      </c>
      <c r="I22" s="712">
        <f>+landbouw!H8</f>
        <v>0</v>
      </c>
      <c r="J22" s="712">
        <f>+landbouw!I8</f>
        <v>0</v>
      </c>
      <c r="K22" s="712">
        <f>+landbouw!J8</f>
        <v>288.53541218243112</v>
      </c>
      <c r="L22" s="712">
        <f>+landbouw!K8</f>
        <v>0</v>
      </c>
      <c r="M22" s="712">
        <f>+landbouw!L8</f>
        <v>0</v>
      </c>
      <c r="N22" s="712">
        <f>+landbouw!M8</f>
        <v>0</v>
      </c>
      <c r="O22" s="712">
        <f>+landbouw!N8</f>
        <v>0</v>
      </c>
      <c r="P22" s="712">
        <f>+landbouw!O8</f>
        <v>0</v>
      </c>
      <c r="Q22" s="713">
        <f>+landbouw!P8</f>
        <v>0</v>
      </c>
      <c r="R22" s="714">
        <f>SUM(C22:Q22)</f>
        <v>74304.302864619516</v>
      </c>
      <c r="S22" s="68"/>
    </row>
    <row r="23" spans="1:19" s="458" customFormat="1" ht="17.25" thickTop="1" thickBot="1">
      <c r="A23" s="719" t="s">
        <v>116</v>
      </c>
      <c r="B23" s="853"/>
      <c r="C23" s="720">
        <f ca="1">C20+C15+C22</f>
        <v>56729.554214371972</v>
      </c>
      <c r="D23" s="720">
        <f t="shared" ref="D23:Q23" ca="1" si="2">D20+D15+D22</f>
        <v>67025.410714285725</v>
      </c>
      <c r="E23" s="720">
        <f t="shared" ca="1" si="2"/>
        <v>99182.014276075861</v>
      </c>
      <c r="F23" s="720">
        <f t="shared" si="2"/>
        <v>5930.2556040117088</v>
      </c>
      <c r="G23" s="720">
        <f t="shared" ca="1" si="2"/>
        <v>49453.39327118978</v>
      </c>
      <c r="H23" s="720">
        <f t="shared" si="2"/>
        <v>76078.679369137128</v>
      </c>
      <c r="I23" s="720">
        <f t="shared" si="2"/>
        <v>15753.911412490559</v>
      </c>
      <c r="J23" s="720">
        <f t="shared" si="2"/>
        <v>0</v>
      </c>
      <c r="K23" s="720">
        <f t="shared" si="2"/>
        <v>377.01079893117623</v>
      </c>
      <c r="L23" s="720">
        <f t="shared" si="2"/>
        <v>0</v>
      </c>
      <c r="M23" s="720">
        <f t="shared" ca="1" si="2"/>
        <v>0</v>
      </c>
      <c r="N23" s="720">
        <f t="shared" si="2"/>
        <v>4107.4120375720468</v>
      </c>
      <c r="O23" s="720">
        <f t="shared" ca="1" si="2"/>
        <v>12132.105990252159</v>
      </c>
      <c r="P23" s="720">
        <f t="shared" si="2"/>
        <v>110.99666666666667</v>
      </c>
      <c r="Q23" s="721">
        <f t="shared" si="2"/>
        <v>495.73333333333335</v>
      </c>
      <c r="R23" s="722">
        <f ca="1">R20+R15+R22</f>
        <v>387376.47768831812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2933.2719702853851</v>
      </c>
      <c r="D36" s="703">
        <f ca="1">tertiair!C20</f>
        <v>0</v>
      </c>
      <c r="E36" s="703">
        <f ca="1">tertiair!D20</f>
        <v>8145.8422218114101</v>
      </c>
      <c r="F36" s="703">
        <f>tertiair!E20</f>
        <v>30.898464680343338</v>
      </c>
      <c r="G36" s="703">
        <f ca="1">tertiair!F20</f>
        <v>665.47251149956833</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11775.485168276708</v>
      </c>
    </row>
    <row r="37" spans="1:18">
      <c r="A37" s="874" t="s">
        <v>225</v>
      </c>
      <c r="B37" s="881"/>
      <c r="C37" s="703">
        <f ca="1">huishoudens!B12</f>
        <v>7023.4665355904081</v>
      </c>
      <c r="D37" s="703">
        <f ca="1">huishoudens!C12</f>
        <v>0</v>
      </c>
      <c r="E37" s="703">
        <f>huishoudens!D12</f>
        <v>10926.366326430096</v>
      </c>
      <c r="F37" s="703">
        <f>huishoudens!E12</f>
        <v>1201.5433113844445</v>
      </c>
      <c r="G37" s="703">
        <f>huishoudens!F12</f>
        <v>10705.539342752596</v>
      </c>
      <c r="H37" s="703">
        <f>huishoudens!G12</f>
        <v>0</v>
      </c>
      <c r="I37" s="703">
        <f>huishoudens!H12</f>
        <v>0</v>
      </c>
      <c r="J37" s="703">
        <f>huishoudens!I12</f>
        <v>0</v>
      </c>
      <c r="K37" s="703">
        <f>huishoudens!J12</f>
        <v>20.108132393066036</v>
      </c>
      <c r="L37" s="703">
        <f>huishoudens!K12</f>
        <v>0</v>
      </c>
      <c r="M37" s="703">
        <f>huishoudens!L12</f>
        <v>0</v>
      </c>
      <c r="N37" s="703">
        <f>huishoudens!M12</f>
        <v>0</v>
      </c>
      <c r="O37" s="703">
        <f>huishoudens!N12</f>
        <v>0</v>
      </c>
      <c r="P37" s="703">
        <f>huishoudens!O12</f>
        <v>0</v>
      </c>
      <c r="Q37" s="813">
        <f>huishoudens!P12</f>
        <v>0</v>
      </c>
      <c r="R37" s="906">
        <f ca="1">SUM(C37:Q37)</f>
        <v>29877.02364855061</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1577.5456814076281</v>
      </c>
      <c r="D39" s="703">
        <f ca="1">industrie!C22</f>
        <v>0</v>
      </c>
      <c r="E39" s="703">
        <f>industrie!D22</f>
        <v>961.12519849183241</v>
      </c>
      <c r="F39" s="703">
        <f>industrie!E22</f>
        <v>15.43286215303711</v>
      </c>
      <c r="G39" s="703">
        <f>industrie!F22</f>
        <v>595.24991030718866</v>
      </c>
      <c r="H39" s="703">
        <f>industrie!G22</f>
        <v>0</v>
      </c>
      <c r="I39" s="703">
        <f>industrie!H22</f>
        <v>0</v>
      </c>
      <c r="J39" s="703">
        <f>industrie!I22</f>
        <v>0</v>
      </c>
      <c r="K39" s="703">
        <f>industrie!J22</f>
        <v>11.212154515989733</v>
      </c>
      <c r="L39" s="703">
        <f>industrie!K22</f>
        <v>0</v>
      </c>
      <c r="M39" s="703">
        <f>industrie!L22</f>
        <v>0</v>
      </c>
      <c r="N39" s="703">
        <f>industrie!M22</f>
        <v>0</v>
      </c>
      <c r="O39" s="703">
        <f>industrie!N22</f>
        <v>0</v>
      </c>
      <c r="P39" s="703">
        <f>industrie!O22</f>
        <v>0</v>
      </c>
      <c r="Q39" s="813">
        <f>industrie!P22</f>
        <v>0</v>
      </c>
      <c r="R39" s="907">
        <f ca="1">SUM(C39:Q39)</f>
        <v>3160.5658068756761</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11534.284187283421</v>
      </c>
      <c r="D41" s="748">
        <f t="shared" ref="D41:R41" ca="1" si="4">SUM(D35:D40)</f>
        <v>0</v>
      </c>
      <c r="E41" s="748">
        <f t="shared" ca="1" si="4"/>
        <v>20033.333746733337</v>
      </c>
      <c r="F41" s="748">
        <f t="shared" si="4"/>
        <v>1247.8746382178249</v>
      </c>
      <c r="G41" s="748">
        <f t="shared" ca="1" si="4"/>
        <v>11966.261764559353</v>
      </c>
      <c r="H41" s="748">
        <f t="shared" si="4"/>
        <v>0</v>
      </c>
      <c r="I41" s="748">
        <f t="shared" si="4"/>
        <v>0</v>
      </c>
      <c r="J41" s="748">
        <f t="shared" si="4"/>
        <v>0</v>
      </c>
      <c r="K41" s="748">
        <f t="shared" si="4"/>
        <v>31.320286909055767</v>
      </c>
      <c r="L41" s="748">
        <f t="shared" si="4"/>
        <v>0</v>
      </c>
      <c r="M41" s="748">
        <f t="shared" ca="1" si="4"/>
        <v>0</v>
      </c>
      <c r="N41" s="748">
        <f t="shared" si="4"/>
        <v>0</v>
      </c>
      <c r="O41" s="748">
        <f t="shared" ca="1" si="4"/>
        <v>0</v>
      </c>
      <c r="P41" s="748">
        <f t="shared" si="4"/>
        <v>0</v>
      </c>
      <c r="Q41" s="749">
        <f t="shared" si="4"/>
        <v>0</v>
      </c>
      <c r="R41" s="750">
        <f t="shared" ca="1" si="4"/>
        <v>44813.074623702996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439.31183670444096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439.31183670444096</v>
      </c>
    </row>
    <row r="45" spans="1:18" ht="15" thickBot="1">
      <c r="A45" s="877" t="s">
        <v>307</v>
      </c>
      <c r="B45" s="887"/>
      <c r="C45" s="712">
        <f ca="1">transport!B18</f>
        <v>0.54146562899153505</v>
      </c>
      <c r="D45" s="712">
        <f>transport!C18</f>
        <v>0</v>
      </c>
      <c r="E45" s="712">
        <f>transport!D18</f>
        <v>1.433137033984444</v>
      </c>
      <c r="F45" s="712">
        <f>transport!E18</f>
        <v>93.30545796874614</v>
      </c>
      <c r="G45" s="712">
        <f>transport!F18</f>
        <v>0</v>
      </c>
      <c r="H45" s="712">
        <f>transport!G18</f>
        <v>19873.69555485517</v>
      </c>
      <c r="I45" s="712">
        <f>transport!H18</f>
        <v>3922.7239417101491</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23891.69955719704</v>
      </c>
    </row>
    <row r="46" spans="1:18" ht="15.75" thickBot="1">
      <c r="A46" s="875" t="s">
        <v>230</v>
      </c>
      <c r="B46" s="888"/>
      <c r="C46" s="748">
        <f t="shared" ref="C46:R46" ca="1" si="5">SUM(C43:C45)</f>
        <v>0.54146562899153505</v>
      </c>
      <c r="D46" s="748">
        <f t="shared" ca="1" si="5"/>
        <v>0</v>
      </c>
      <c r="E46" s="748">
        <f t="shared" si="5"/>
        <v>1.433137033984444</v>
      </c>
      <c r="F46" s="748">
        <f t="shared" si="5"/>
        <v>93.30545796874614</v>
      </c>
      <c r="G46" s="748">
        <f t="shared" si="5"/>
        <v>0</v>
      </c>
      <c r="H46" s="748">
        <f t="shared" si="5"/>
        <v>20313.007391559611</v>
      </c>
      <c r="I46" s="748">
        <f t="shared" si="5"/>
        <v>3922.7239417101491</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24331.011393901481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494.5925834023821</v>
      </c>
      <c r="D48" s="703">
        <f ca="1">+landbouw!C12</f>
        <v>14989.776876172878</v>
      </c>
      <c r="E48" s="703">
        <f>+landbouw!D12</f>
        <v>0</v>
      </c>
      <c r="F48" s="703">
        <f>+landbouw!E12</f>
        <v>4.9879259240868334</v>
      </c>
      <c r="G48" s="703">
        <f>+landbouw!F12</f>
        <v>1237.7942388483179</v>
      </c>
      <c r="H48" s="703">
        <f>+landbouw!G12</f>
        <v>0</v>
      </c>
      <c r="I48" s="703">
        <f>+landbouw!H12</f>
        <v>0</v>
      </c>
      <c r="J48" s="703">
        <f>+landbouw!I12</f>
        <v>0</v>
      </c>
      <c r="K48" s="703">
        <f>+landbouw!J12</f>
        <v>102.14153591258061</v>
      </c>
      <c r="L48" s="703">
        <f>+landbouw!K12</f>
        <v>0</v>
      </c>
      <c r="M48" s="703">
        <f>+landbouw!L12</f>
        <v>0</v>
      </c>
      <c r="N48" s="703">
        <f>+landbouw!M12</f>
        <v>0</v>
      </c>
      <c r="O48" s="703">
        <f>+landbouw!N12</f>
        <v>0</v>
      </c>
      <c r="P48" s="703">
        <f>+landbouw!O12</f>
        <v>0</v>
      </c>
      <c r="Q48" s="704">
        <f>+landbouw!P12</f>
        <v>0</v>
      </c>
      <c r="R48" s="746">
        <f ca="1">SUM(C48:Q48)</f>
        <v>16829.293160260248</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12029.418236314796</v>
      </c>
      <c r="D53" s="758">
        <f t="shared" ref="D53:Q53" ca="1" si="6">D41+D46+D48</f>
        <v>14989.776876172878</v>
      </c>
      <c r="E53" s="758">
        <f t="shared" ca="1" si="6"/>
        <v>20034.766883767323</v>
      </c>
      <c r="F53" s="758">
        <f t="shared" si="6"/>
        <v>1346.1680221106578</v>
      </c>
      <c r="G53" s="758">
        <f t="shared" ca="1" si="6"/>
        <v>13204.05600340767</v>
      </c>
      <c r="H53" s="758">
        <f t="shared" si="6"/>
        <v>20313.007391559611</v>
      </c>
      <c r="I53" s="758">
        <f t="shared" si="6"/>
        <v>3922.7239417101491</v>
      </c>
      <c r="J53" s="758">
        <f t="shared" si="6"/>
        <v>0</v>
      </c>
      <c r="K53" s="758">
        <f t="shared" si="6"/>
        <v>133.46182282163636</v>
      </c>
      <c r="L53" s="758">
        <f t="shared" si="6"/>
        <v>0</v>
      </c>
      <c r="M53" s="758">
        <f t="shared" ca="1" si="6"/>
        <v>0</v>
      </c>
      <c r="N53" s="758">
        <f t="shared" si="6"/>
        <v>0</v>
      </c>
      <c r="O53" s="758">
        <f t="shared" ca="1" si="6"/>
        <v>0</v>
      </c>
      <c r="P53" s="758">
        <f>P41+P46+P48</f>
        <v>0</v>
      </c>
      <c r="Q53" s="759">
        <f t="shared" si="6"/>
        <v>0</v>
      </c>
      <c r="R53" s="760">
        <f ca="1">R41+R46+R48</f>
        <v>85973.379177864728</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0.21204852396437904</v>
      </c>
      <c r="D55" s="824">
        <f t="shared" ca="1" si="7"/>
        <v>0.22364319317744924</v>
      </c>
      <c r="E55" s="824">
        <f t="shared" ca="1" si="7"/>
        <v>0.20199999999999999</v>
      </c>
      <c r="F55" s="824">
        <f t="shared" si="7"/>
        <v>0.22699999999999998</v>
      </c>
      <c r="G55" s="824">
        <f t="shared" ca="1" si="7"/>
        <v>0.26699999999999996</v>
      </c>
      <c r="H55" s="824">
        <f t="shared" si="7"/>
        <v>0.26699999999999996</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2871.0415043437324</v>
      </c>
      <c r="C66" s="780">
        <f>'lokale energieproductie'!B6</f>
        <v>2871.0415043437324</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47929.5</v>
      </c>
      <c r="C67" s="779">
        <f>B67*IFERROR(SUM(J67:L67)/SUM(D67:M67),0)</f>
        <v>3163.6887433155075</v>
      </c>
      <c r="D67" s="811">
        <f>'lokale energieproductie'!C7</f>
        <v>51424.998049701164</v>
      </c>
      <c r="E67" s="812">
        <f>'lokale energieproductie'!D7</f>
        <v>0</v>
      </c>
      <c r="F67" s="812">
        <f>'lokale energieproductie'!E7</f>
        <v>1240.6622522805912</v>
      </c>
      <c r="G67" s="812">
        <f>'lokale energieproductie'!F7</f>
        <v>0</v>
      </c>
      <c r="H67" s="812">
        <f>'lokale energieproductie'!G7</f>
        <v>0</v>
      </c>
      <c r="I67" s="812">
        <f>'lokale energieproductie'!H7</f>
        <v>0</v>
      </c>
      <c r="J67" s="812">
        <f>'lokale energieproductie'!I7</f>
        <v>3721.986756841774</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10719.106427398554</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50800.541504343732</v>
      </c>
      <c r="C69" s="788">
        <f>SUM(C64:C68)</f>
        <v>6034.7302476592395</v>
      </c>
      <c r="D69" s="789">
        <f t="shared" ref="D69:M69" si="8">SUM(D67:D68)</f>
        <v>51424.998049701164</v>
      </c>
      <c r="E69" s="789">
        <f t="shared" si="8"/>
        <v>0</v>
      </c>
      <c r="F69" s="789">
        <f t="shared" si="8"/>
        <v>1240.6622522805912</v>
      </c>
      <c r="G69" s="789">
        <f t="shared" si="8"/>
        <v>0</v>
      </c>
      <c r="H69" s="789">
        <f t="shared" si="8"/>
        <v>0</v>
      </c>
      <c r="I69" s="789">
        <f t="shared" si="8"/>
        <v>0</v>
      </c>
      <c r="J69" s="789">
        <f t="shared" si="8"/>
        <v>3721.986756841774</v>
      </c>
      <c r="K69" s="789">
        <f t="shared" si="8"/>
        <v>0</v>
      </c>
      <c r="L69" s="789">
        <f t="shared" si="8"/>
        <v>0</v>
      </c>
      <c r="M69" s="919">
        <f t="shared" si="8"/>
        <v>0</v>
      </c>
      <c r="N69" s="790">
        <v>0</v>
      </c>
      <c r="O69" s="790">
        <f>SUM(O67:O68)</f>
        <v>10719.106427398554</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67025.410714285725</v>
      </c>
      <c r="C78" s="802">
        <f>B78*IFERROR(SUM(I78:L78)/SUM(D78:M78),0)</f>
        <v>4424.1550066844911</v>
      </c>
      <c r="D78" s="817">
        <f>'lokale energieproductie'!C16</f>
        <v>71913.573378870278</v>
      </c>
      <c r="E78" s="817">
        <f>'lokale energieproductie'!D16</f>
        <v>0</v>
      </c>
      <c r="F78" s="817">
        <f>'lokale energieproductie'!E16</f>
        <v>1734.9627477194085</v>
      </c>
      <c r="G78" s="817">
        <f>'lokale energieproductie'!F16</f>
        <v>0</v>
      </c>
      <c r="H78" s="817">
        <f>'lokale energieproductie'!G16</f>
        <v>0</v>
      </c>
      <c r="I78" s="817">
        <f>'lokale energieproductie'!H16</f>
        <v>0</v>
      </c>
      <c r="J78" s="817">
        <f>'lokale energieproductie'!I16</f>
        <v>5204.888243158226</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14989.776876172878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67025.410714285725</v>
      </c>
      <c r="C81" s="788">
        <f>SUM(C78:C80)</f>
        <v>4424.1550066844911</v>
      </c>
      <c r="D81" s="788">
        <f t="shared" ref="D81:P81" si="9">SUM(D78:D80)</f>
        <v>71913.573378870278</v>
      </c>
      <c r="E81" s="788">
        <f t="shared" si="9"/>
        <v>0</v>
      </c>
      <c r="F81" s="788">
        <f t="shared" si="9"/>
        <v>1734.9627477194085</v>
      </c>
      <c r="G81" s="788">
        <f t="shared" si="9"/>
        <v>0</v>
      </c>
      <c r="H81" s="788">
        <f t="shared" si="9"/>
        <v>0</v>
      </c>
      <c r="I81" s="788">
        <f t="shared" si="9"/>
        <v>0</v>
      </c>
      <c r="J81" s="788">
        <f t="shared" si="9"/>
        <v>5204.888243158226</v>
      </c>
      <c r="K81" s="788">
        <f t="shared" si="9"/>
        <v>0</v>
      </c>
      <c r="L81" s="788">
        <f t="shared" si="9"/>
        <v>0</v>
      </c>
      <c r="M81" s="788">
        <f t="shared" si="9"/>
        <v>0</v>
      </c>
      <c r="N81" s="788">
        <v>0</v>
      </c>
      <c r="O81" s="788">
        <f>SUM(O78:O80)</f>
        <v>14989.776876172878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33121.97795241548</v>
      </c>
      <c r="C4" s="462">
        <f>huishoudens!C8</f>
        <v>0</v>
      </c>
      <c r="D4" s="462">
        <f>huishoudens!D8</f>
        <v>54090.922408069775</v>
      </c>
      <c r="E4" s="462">
        <f>huishoudens!E8</f>
        <v>5293.1423409006366</v>
      </c>
      <c r="F4" s="462">
        <f>huishoudens!F8</f>
        <v>40095.652969110844</v>
      </c>
      <c r="G4" s="462">
        <f>huishoudens!G8</f>
        <v>0</v>
      </c>
      <c r="H4" s="462">
        <f>huishoudens!H8</f>
        <v>0</v>
      </c>
      <c r="I4" s="462">
        <f>huishoudens!I8</f>
        <v>0</v>
      </c>
      <c r="J4" s="462">
        <f>huishoudens!J8</f>
        <v>56.802633878717614</v>
      </c>
      <c r="K4" s="462">
        <f>huishoudens!K8</f>
        <v>0</v>
      </c>
      <c r="L4" s="462">
        <f>huishoudens!L8</f>
        <v>0</v>
      </c>
      <c r="M4" s="462">
        <f>huishoudens!M8</f>
        <v>0</v>
      </c>
      <c r="N4" s="462">
        <f>huishoudens!N8</f>
        <v>11255.163570239754</v>
      </c>
      <c r="O4" s="462">
        <f>huishoudens!O8</f>
        <v>110.99666666666667</v>
      </c>
      <c r="P4" s="463">
        <f>huishoudens!P8</f>
        <v>495.73333333333335</v>
      </c>
      <c r="Q4" s="464">
        <f>SUM(B4:P4)</f>
        <v>144520.39187461522</v>
      </c>
    </row>
    <row r="5" spans="1:17">
      <c r="A5" s="461" t="s">
        <v>156</v>
      </c>
      <c r="B5" s="462">
        <f ca="1">tertiair!B16</f>
        <v>12800.672345291734</v>
      </c>
      <c r="C5" s="462">
        <f ca="1">tertiair!C16</f>
        <v>0</v>
      </c>
      <c r="D5" s="462">
        <f ca="1">tertiair!D16</f>
        <v>40325.951593125792</v>
      </c>
      <c r="E5" s="462">
        <f>tertiair!E16</f>
        <v>136.11658449490457</v>
      </c>
      <c r="F5" s="462">
        <f ca="1">tertiair!F16</f>
        <v>2492.4064101107429</v>
      </c>
      <c r="G5" s="462">
        <f>tertiair!G16</f>
        <v>0</v>
      </c>
      <c r="H5" s="462">
        <f>tertiair!H16</f>
        <v>0</v>
      </c>
      <c r="I5" s="462">
        <f>tertiair!I16</f>
        <v>0</v>
      </c>
      <c r="J5" s="462">
        <f>tertiair!J16</f>
        <v>0</v>
      </c>
      <c r="K5" s="462">
        <f>tertiair!K16</f>
        <v>0</v>
      </c>
      <c r="L5" s="462">
        <f ca="1">tertiair!L16</f>
        <v>0</v>
      </c>
      <c r="M5" s="462">
        <f>tertiair!M16</f>
        <v>0</v>
      </c>
      <c r="N5" s="462">
        <f ca="1">tertiair!N16</f>
        <v>563.36122270221563</v>
      </c>
      <c r="O5" s="462">
        <f>tertiair!O16</f>
        <v>0</v>
      </c>
      <c r="P5" s="463">
        <f>tertiair!P16</f>
        <v>0</v>
      </c>
      <c r="Q5" s="461">
        <f t="shared" ref="Q5:Q13" ca="1" si="0">SUM(B5:P5)</f>
        <v>56318.508155725394</v>
      </c>
    </row>
    <row r="6" spans="1:17">
      <c r="A6" s="461" t="s">
        <v>194</v>
      </c>
      <c r="B6" s="462">
        <f>'openbare verlichting'!B8</f>
        <v>1032.3499999999999</v>
      </c>
      <c r="C6" s="462"/>
      <c r="D6" s="462"/>
      <c r="E6" s="462"/>
      <c r="F6" s="462"/>
      <c r="G6" s="462"/>
      <c r="H6" s="462"/>
      <c r="I6" s="462"/>
      <c r="J6" s="462"/>
      <c r="K6" s="462"/>
      <c r="L6" s="462"/>
      <c r="M6" s="462"/>
      <c r="N6" s="462"/>
      <c r="O6" s="462"/>
      <c r="P6" s="463"/>
      <c r="Q6" s="461">
        <f t="shared" si="0"/>
        <v>1032.3499999999999</v>
      </c>
    </row>
    <row r="7" spans="1:17">
      <c r="A7" s="461" t="s">
        <v>112</v>
      </c>
      <c r="B7" s="462">
        <f>landbouw!B8</f>
        <v>2332.450017362376</v>
      </c>
      <c r="C7" s="462">
        <f>landbouw!C8</f>
        <v>67025.410714285725</v>
      </c>
      <c r="D7" s="462">
        <f>landbouw!D8</f>
        <v>0</v>
      </c>
      <c r="E7" s="462">
        <f>landbouw!E8</f>
        <v>21.973241956329662</v>
      </c>
      <c r="F7" s="462">
        <f>landbouw!F8</f>
        <v>4635.9334788326514</v>
      </c>
      <c r="G7" s="462">
        <f>landbouw!G8</f>
        <v>0</v>
      </c>
      <c r="H7" s="462">
        <f>landbouw!H8</f>
        <v>0</v>
      </c>
      <c r="I7" s="462">
        <f>landbouw!I8</f>
        <v>0</v>
      </c>
      <c r="J7" s="462">
        <f>landbouw!J8</f>
        <v>288.53541218243112</v>
      </c>
      <c r="K7" s="462">
        <f>landbouw!K8</f>
        <v>0</v>
      </c>
      <c r="L7" s="462">
        <f>landbouw!L8</f>
        <v>0</v>
      </c>
      <c r="M7" s="462">
        <f>landbouw!M8</f>
        <v>0</v>
      </c>
      <c r="N7" s="462">
        <f>landbouw!N8</f>
        <v>0</v>
      </c>
      <c r="O7" s="462">
        <f>landbouw!O8</f>
        <v>0</v>
      </c>
      <c r="P7" s="463">
        <f>landbouw!P8</f>
        <v>0</v>
      </c>
      <c r="Q7" s="461">
        <f t="shared" si="0"/>
        <v>74304.302864619516</v>
      </c>
    </row>
    <row r="8" spans="1:17">
      <c r="A8" s="461" t="s">
        <v>685</v>
      </c>
      <c r="B8" s="462">
        <f>industrie!B18</f>
        <v>7439.5504006084575</v>
      </c>
      <c r="C8" s="462">
        <f>industrie!C18</f>
        <v>0</v>
      </c>
      <c r="D8" s="462">
        <f>industrie!D18</f>
        <v>4758.0455370882792</v>
      </c>
      <c r="E8" s="462">
        <f>industrie!E18</f>
        <v>67.986176885626037</v>
      </c>
      <c r="F8" s="462">
        <f>industrie!F18</f>
        <v>2229.4004131355377</v>
      </c>
      <c r="G8" s="462">
        <f>industrie!G18</f>
        <v>0</v>
      </c>
      <c r="H8" s="462">
        <f>industrie!H18</f>
        <v>0</v>
      </c>
      <c r="I8" s="462">
        <f>industrie!I18</f>
        <v>0</v>
      </c>
      <c r="J8" s="462">
        <f>industrie!J18</f>
        <v>31.672752870027495</v>
      </c>
      <c r="K8" s="462">
        <f>industrie!K18</f>
        <v>0</v>
      </c>
      <c r="L8" s="462">
        <f>industrie!L18</f>
        <v>0</v>
      </c>
      <c r="M8" s="462">
        <f>industrie!M18</f>
        <v>0</v>
      </c>
      <c r="N8" s="462">
        <f>industrie!N18</f>
        <v>313.58119731018968</v>
      </c>
      <c r="O8" s="462">
        <f>industrie!O18</f>
        <v>0</v>
      </c>
      <c r="P8" s="463">
        <f>industrie!P18</f>
        <v>0</v>
      </c>
      <c r="Q8" s="461">
        <f t="shared" si="0"/>
        <v>14840.236477898117</v>
      </c>
    </row>
    <row r="9" spans="1:17" s="467" customFormat="1">
      <c r="A9" s="465" t="s">
        <v>579</v>
      </c>
      <c r="B9" s="466">
        <f>transport!B14</f>
        <v>2.553498693923911</v>
      </c>
      <c r="C9" s="466">
        <f>transport!C14</f>
        <v>0</v>
      </c>
      <c r="D9" s="466">
        <f>transport!D14</f>
        <v>7.0947377920021975</v>
      </c>
      <c r="E9" s="466">
        <f>transport!E14</f>
        <v>411.03725977421203</v>
      </c>
      <c r="F9" s="466">
        <f>transport!F14</f>
        <v>0</v>
      </c>
      <c r="G9" s="466">
        <f>transport!G14</f>
        <v>74433.316684850826</v>
      </c>
      <c r="H9" s="466">
        <f>transport!H14</f>
        <v>15753.911412490559</v>
      </c>
      <c r="I9" s="466">
        <f>transport!I14</f>
        <v>0</v>
      </c>
      <c r="J9" s="466">
        <f>transport!J14</f>
        <v>0</v>
      </c>
      <c r="K9" s="466">
        <f>transport!K14</f>
        <v>0</v>
      </c>
      <c r="L9" s="466">
        <f>transport!L14</f>
        <v>0</v>
      </c>
      <c r="M9" s="466">
        <f>transport!M14</f>
        <v>4035.1614479095115</v>
      </c>
      <c r="N9" s="466">
        <f>transport!N14</f>
        <v>0</v>
      </c>
      <c r="O9" s="466">
        <f>transport!O14</f>
        <v>0</v>
      </c>
      <c r="P9" s="466">
        <f>transport!P14</f>
        <v>0</v>
      </c>
      <c r="Q9" s="465">
        <f>SUM(B9:P9)</f>
        <v>94643.075041511038</v>
      </c>
    </row>
    <row r="10" spans="1:17">
      <c r="A10" s="461" t="s">
        <v>569</v>
      </c>
      <c r="B10" s="462">
        <f>transport!B54</f>
        <v>0</v>
      </c>
      <c r="C10" s="462">
        <f>transport!C54</f>
        <v>0</v>
      </c>
      <c r="D10" s="462">
        <f>transport!D54</f>
        <v>0</v>
      </c>
      <c r="E10" s="462">
        <f>transport!E54</f>
        <v>0</v>
      </c>
      <c r="F10" s="462">
        <f>transport!F54</f>
        <v>0</v>
      </c>
      <c r="G10" s="462">
        <f>transport!G54</f>
        <v>1645.3626842862957</v>
      </c>
      <c r="H10" s="462">
        <f>transport!H54</f>
        <v>0</v>
      </c>
      <c r="I10" s="462">
        <f>transport!I54</f>
        <v>0</v>
      </c>
      <c r="J10" s="462">
        <f>transport!J54</f>
        <v>0</v>
      </c>
      <c r="K10" s="462">
        <f>transport!K54</f>
        <v>0</v>
      </c>
      <c r="L10" s="462">
        <f>transport!L54</f>
        <v>0</v>
      </c>
      <c r="M10" s="462">
        <f>transport!M54</f>
        <v>72.250589662534878</v>
      </c>
      <c r="N10" s="462">
        <f>transport!N54</f>
        <v>0</v>
      </c>
      <c r="O10" s="462">
        <f>transport!O54</f>
        <v>0</v>
      </c>
      <c r="P10" s="463">
        <f>transport!P54</f>
        <v>0</v>
      </c>
      <c r="Q10" s="461">
        <f t="shared" si="0"/>
        <v>1717.6132739488305</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56729.554214371972</v>
      </c>
      <c r="C14" s="472">
        <f t="shared" ref="C14:Q14" ca="1" si="1">SUM(C4:C13)</f>
        <v>67025.410714285725</v>
      </c>
      <c r="D14" s="472">
        <f t="shared" ca="1" si="1"/>
        <v>99182.014276075861</v>
      </c>
      <c r="E14" s="472">
        <f t="shared" si="1"/>
        <v>5930.2556040117088</v>
      </c>
      <c r="F14" s="472">
        <f t="shared" ca="1" si="1"/>
        <v>49453.39327118978</v>
      </c>
      <c r="G14" s="472">
        <f t="shared" si="1"/>
        <v>76078.679369137128</v>
      </c>
      <c r="H14" s="472">
        <f t="shared" si="1"/>
        <v>15753.911412490559</v>
      </c>
      <c r="I14" s="472">
        <f t="shared" si="1"/>
        <v>0</v>
      </c>
      <c r="J14" s="472">
        <f t="shared" si="1"/>
        <v>377.01079893117617</v>
      </c>
      <c r="K14" s="472">
        <f t="shared" si="1"/>
        <v>0</v>
      </c>
      <c r="L14" s="472">
        <f t="shared" ca="1" si="1"/>
        <v>0</v>
      </c>
      <c r="M14" s="472">
        <f t="shared" si="1"/>
        <v>4107.4120375720468</v>
      </c>
      <c r="N14" s="472">
        <f t="shared" ca="1" si="1"/>
        <v>12132.105990252159</v>
      </c>
      <c r="O14" s="472">
        <f t="shared" si="1"/>
        <v>110.99666666666667</v>
      </c>
      <c r="P14" s="473">
        <f t="shared" si="1"/>
        <v>495.73333333333335</v>
      </c>
      <c r="Q14" s="473">
        <f t="shared" ca="1" si="1"/>
        <v>387376.47768831818</v>
      </c>
    </row>
    <row r="16" spans="1:17">
      <c r="A16" s="475" t="s">
        <v>574</v>
      </c>
      <c r="B16" s="829">
        <f ca="1">huishoudens!B10</f>
        <v>0.21204852396437904</v>
      </c>
      <c r="C16" s="829">
        <f ca="1">huishoudens!C10</f>
        <v>0.22364319317744924</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7023.4665355904081</v>
      </c>
      <c r="C21" s="462">
        <f t="shared" ref="C21:C30" ca="1" si="3">C4*$C$16</f>
        <v>0</v>
      </c>
      <c r="D21" s="462">
        <f t="shared" ref="D21:D30" si="4">D4*$D$16</f>
        <v>10926.366326430096</v>
      </c>
      <c r="E21" s="462">
        <f t="shared" ref="E21:E30" si="5">E4*$E$16</f>
        <v>1201.5433113844445</v>
      </c>
      <c r="F21" s="462">
        <f t="shared" ref="F21:F30" si="6">F4*$F$16</f>
        <v>10705.539342752596</v>
      </c>
      <c r="G21" s="462">
        <f t="shared" ref="G21:G30" si="7">G4*$G$16</f>
        <v>0</v>
      </c>
      <c r="H21" s="462">
        <f t="shared" ref="H21:H30" si="8">H4*$H$16</f>
        <v>0</v>
      </c>
      <c r="I21" s="462">
        <f t="shared" ref="I21:I30" si="9">I4*$I$16</f>
        <v>0</v>
      </c>
      <c r="J21" s="462">
        <f t="shared" ref="J21:J30" si="10">J4*$J$16</f>
        <v>20.108132393066036</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29877.02364855061</v>
      </c>
    </row>
    <row r="22" spans="1:17">
      <c r="A22" s="461" t="s">
        <v>156</v>
      </c>
      <c r="B22" s="462">
        <f t="shared" ca="1" si="2"/>
        <v>2714.3636765707583</v>
      </c>
      <c r="C22" s="462">
        <f t="shared" ca="1" si="3"/>
        <v>0</v>
      </c>
      <c r="D22" s="462">
        <f t="shared" ca="1" si="4"/>
        <v>8145.8422218114101</v>
      </c>
      <c r="E22" s="462">
        <f t="shared" si="5"/>
        <v>30.898464680343338</v>
      </c>
      <c r="F22" s="462">
        <f t="shared" ca="1" si="6"/>
        <v>665.47251149956833</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11556.576874562081</v>
      </c>
    </row>
    <row r="23" spans="1:17">
      <c r="A23" s="461" t="s">
        <v>194</v>
      </c>
      <c r="B23" s="462">
        <f t="shared" ca="1" si="2"/>
        <v>218.90829371462669</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218.90829371462669</v>
      </c>
    </row>
    <row r="24" spans="1:17">
      <c r="A24" s="461" t="s">
        <v>112</v>
      </c>
      <c r="B24" s="462">
        <f t="shared" ca="1" si="2"/>
        <v>494.5925834023821</v>
      </c>
      <c r="C24" s="462">
        <f t="shared" ca="1" si="3"/>
        <v>14989.776876172878</v>
      </c>
      <c r="D24" s="462">
        <f t="shared" si="4"/>
        <v>0</v>
      </c>
      <c r="E24" s="462">
        <f t="shared" si="5"/>
        <v>4.9879259240868334</v>
      </c>
      <c r="F24" s="462">
        <f t="shared" si="6"/>
        <v>1237.7942388483179</v>
      </c>
      <c r="G24" s="462">
        <f t="shared" si="7"/>
        <v>0</v>
      </c>
      <c r="H24" s="462">
        <f t="shared" si="8"/>
        <v>0</v>
      </c>
      <c r="I24" s="462">
        <f t="shared" si="9"/>
        <v>0</v>
      </c>
      <c r="J24" s="462">
        <f t="shared" si="10"/>
        <v>102.14153591258061</v>
      </c>
      <c r="K24" s="462">
        <f t="shared" si="11"/>
        <v>0</v>
      </c>
      <c r="L24" s="462">
        <f t="shared" si="12"/>
        <v>0</v>
      </c>
      <c r="M24" s="462">
        <f t="shared" si="13"/>
        <v>0</v>
      </c>
      <c r="N24" s="462">
        <f t="shared" si="14"/>
        <v>0</v>
      </c>
      <c r="O24" s="462">
        <f t="shared" si="15"/>
        <v>0</v>
      </c>
      <c r="P24" s="463">
        <f t="shared" si="16"/>
        <v>0</v>
      </c>
      <c r="Q24" s="461">
        <f t="shared" ca="1" si="17"/>
        <v>16829.293160260248</v>
      </c>
    </row>
    <row r="25" spans="1:17">
      <c r="A25" s="461" t="s">
        <v>685</v>
      </c>
      <c r="B25" s="462">
        <f t="shared" ca="1" si="2"/>
        <v>1577.5456814076281</v>
      </c>
      <c r="C25" s="462">
        <f t="shared" ca="1" si="3"/>
        <v>0</v>
      </c>
      <c r="D25" s="462">
        <f t="shared" si="4"/>
        <v>961.12519849183241</v>
      </c>
      <c r="E25" s="462">
        <f t="shared" si="5"/>
        <v>15.43286215303711</v>
      </c>
      <c r="F25" s="462">
        <f t="shared" si="6"/>
        <v>595.24991030718866</v>
      </c>
      <c r="G25" s="462">
        <f t="shared" si="7"/>
        <v>0</v>
      </c>
      <c r="H25" s="462">
        <f t="shared" si="8"/>
        <v>0</v>
      </c>
      <c r="I25" s="462">
        <f t="shared" si="9"/>
        <v>0</v>
      </c>
      <c r="J25" s="462">
        <f t="shared" si="10"/>
        <v>11.212154515989733</v>
      </c>
      <c r="K25" s="462">
        <f t="shared" si="11"/>
        <v>0</v>
      </c>
      <c r="L25" s="462">
        <f t="shared" si="12"/>
        <v>0</v>
      </c>
      <c r="M25" s="462">
        <f t="shared" si="13"/>
        <v>0</v>
      </c>
      <c r="N25" s="462">
        <f t="shared" si="14"/>
        <v>0</v>
      </c>
      <c r="O25" s="462">
        <f t="shared" si="15"/>
        <v>0</v>
      </c>
      <c r="P25" s="463">
        <f t="shared" si="16"/>
        <v>0</v>
      </c>
      <c r="Q25" s="461">
        <f t="shared" ca="1" si="17"/>
        <v>3160.5658068756761</v>
      </c>
    </row>
    <row r="26" spans="1:17" s="467" customFormat="1">
      <c r="A26" s="465" t="s">
        <v>579</v>
      </c>
      <c r="B26" s="823">
        <f t="shared" ca="1" si="2"/>
        <v>0.54146562899153505</v>
      </c>
      <c r="C26" s="466">
        <f t="shared" ca="1" si="3"/>
        <v>0</v>
      </c>
      <c r="D26" s="466">
        <f t="shared" si="4"/>
        <v>1.433137033984444</v>
      </c>
      <c r="E26" s="466">
        <f t="shared" si="5"/>
        <v>93.30545796874614</v>
      </c>
      <c r="F26" s="466">
        <f t="shared" si="6"/>
        <v>0</v>
      </c>
      <c r="G26" s="466">
        <f t="shared" si="7"/>
        <v>19873.69555485517</v>
      </c>
      <c r="H26" s="466">
        <f t="shared" si="8"/>
        <v>3922.7239417101491</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23891.69955719704</v>
      </c>
    </row>
    <row r="27" spans="1:17">
      <c r="A27" s="461" t="s">
        <v>569</v>
      </c>
      <c r="B27" s="462">
        <f t="shared" ca="1" si="2"/>
        <v>0</v>
      </c>
      <c r="C27" s="462">
        <f t="shared" ca="1" si="3"/>
        <v>0</v>
      </c>
      <c r="D27" s="462">
        <f t="shared" si="4"/>
        <v>0</v>
      </c>
      <c r="E27" s="462">
        <f t="shared" si="5"/>
        <v>0</v>
      </c>
      <c r="F27" s="462">
        <f t="shared" si="6"/>
        <v>0</v>
      </c>
      <c r="G27" s="462">
        <f t="shared" si="7"/>
        <v>439.31183670444096</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439.31183670444096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12029.418236314796</v>
      </c>
      <c r="C31" s="472">
        <f t="shared" ca="1" si="18"/>
        <v>14989.776876172878</v>
      </c>
      <c r="D31" s="472">
        <f t="shared" ca="1" si="18"/>
        <v>20034.766883767323</v>
      </c>
      <c r="E31" s="472">
        <f t="shared" si="18"/>
        <v>1346.1680221106578</v>
      </c>
      <c r="F31" s="472">
        <f t="shared" ca="1" si="18"/>
        <v>13204.056003407673</v>
      </c>
      <c r="G31" s="472">
        <f t="shared" si="18"/>
        <v>20313.007391559611</v>
      </c>
      <c r="H31" s="472">
        <f t="shared" si="18"/>
        <v>3922.7239417101491</v>
      </c>
      <c r="I31" s="472">
        <f t="shared" si="18"/>
        <v>0</v>
      </c>
      <c r="J31" s="472">
        <f t="shared" si="18"/>
        <v>133.46182282163639</v>
      </c>
      <c r="K31" s="472">
        <f t="shared" si="18"/>
        <v>0</v>
      </c>
      <c r="L31" s="472">
        <f t="shared" ca="1" si="18"/>
        <v>0</v>
      </c>
      <c r="M31" s="472">
        <f t="shared" si="18"/>
        <v>0</v>
      </c>
      <c r="N31" s="472">
        <f t="shared" ca="1" si="18"/>
        <v>0</v>
      </c>
      <c r="O31" s="472">
        <f t="shared" si="18"/>
        <v>0</v>
      </c>
      <c r="P31" s="473">
        <f t="shared" si="18"/>
        <v>0</v>
      </c>
      <c r="Q31" s="473">
        <f t="shared" ca="1" si="18"/>
        <v>85973.379177864714</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0.21204852396437904</v>
      </c>
      <c r="C17" s="512">
        <f ca="1">'EF ele_warmte'!B22</f>
        <v>0.22364319317744924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2</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3.1266666666666669</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0.21204852396437904</v>
      </c>
      <c r="C17" s="512">
        <f ca="1">'EF ele_warmte'!B22</f>
        <v>0.22364319317744924</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0.21204852396437904</v>
      </c>
      <c r="C29" s="513">
        <f ca="1">'EF ele_warmte'!B22</f>
        <v>0.22364319317744924</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6943</v>
      </c>
      <c r="C9" s="338">
        <v>7215</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1462</v>
      </c>
    </row>
    <row r="15" spans="1:6">
      <c r="A15" s="1205" t="s">
        <v>184</v>
      </c>
      <c r="B15" s="335">
        <v>1</v>
      </c>
    </row>
    <row r="16" spans="1:6">
      <c r="A16" s="1205" t="s">
        <v>6</v>
      </c>
      <c r="B16" s="335">
        <v>229</v>
      </c>
    </row>
    <row r="17" spans="1:6">
      <c r="A17" s="1205" t="s">
        <v>7</v>
      </c>
      <c r="B17" s="335">
        <v>234</v>
      </c>
    </row>
    <row r="18" spans="1:6">
      <c r="A18" s="1205" t="s">
        <v>8</v>
      </c>
      <c r="B18" s="335">
        <v>429</v>
      </c>
    </row>
    <row r="19" spans="1:6">
      <c r="A19" s="1205" t="s">
        <v>9</v>
      </c>
      <c r="B19" s="335">
        <v>512</v>
      </c>
    </row>
    <row r="20" spans="1:6">
      <c r="A20" s="1205" t="s">
        <v>10</v>
      </c>
      <c r="B20" s="335">
        <v>294</v>
      </c>
    </row>
    <row r="21" spans="1:6">
      <c r="A21" s="1205" t="s">
        <v>11</v>
      </c>
      <c r="B21" s="335">
        <v>14</v>
      </c>
    </row>
    <row r="22" spans="1:6">
      <c r="A22" s="1205" t="s">
        <v>12</v>
      </c>
      <c r="B22" s="335">
        <v>869</v>
      </c>
    </row>
    <row r="23" spans="1:6">
      <c r="A23" s="1205" t="s">
        <v>13</v>
      </c>
      <c r="B23" s="335">
        <v>0</v>
      </c>
    </row>
    <row r="24" spans="1:6">
      <c r="A24" s="1205" t="s">
        <v>14</v>
      </c>
      <c r="B24" s="335">
        <v>0</v>
      </c>
    </row>
    <row r="25" spans="1:6">
      <c r="A25" s="1205" t="s">
        <v>15</v>
      </c>
      <c r="B25" s="335">
        <v>0</v>
      </c>
    </row>
    <row r="26" spans="1:6">
      <c r="A26" s="1205" t="s">
        <v>16</v>
      </c>
      <c r="B26" s="335">
        <v>161</v>
      </c>
    </row>
    <row r="27" spans="1:6">
      <c r="A27" s="1205" t="s">
        <v>17</v>
      </c>
      <c r="B27" s="335">
        <v>15</v>
      </c>
    </row>
    <row r="28" spans="1:6" s="341" customFormat="1">
      <c r="A28" s="1206" t="s">
        <v>18</v>
      </c>
      <c r="B28" s="1206">
        <v>24375</v>
      </c>
    </row>
    <row r="29" spans="1:6">
      <c r="A29" s="1206" t="s">
        <v>873</v>
      </c>
      <c r="B29" s="1206">
        <v>197</v>
      </c>
      <c r="C29" s="341"/>
      <c r="D29" s="341"/>
      <c r="E29" s="341"/>
      <c r="F29" s="341"/>
    </row>
    <row r="30" spans="1:6">
      <c r="A30" s="1201" t="s">
        <v>874</v>
      </c>
      <c r="B30" s="1201">
        <v>117</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1</v>
      </c>
      <c r="F38" s="335">
        <v>824.59949430239999</v>
      </c>
    </row>
    <row r="39" spans="1:6">
      <c r="A39" s="1205" t="s">
        <v>30</v>
      </c>
      <c r="B39" s="1205" t="s">
        <v>31</v>
      </c>
      <c r="C39" s="335">
        <v>3337</v>
      </c>
      <c r="D39" s="335">
        <v>59967763.201851197</v>
      </c>
      <c r="E39" s="335">
        <v>6932</v>
      </c>
      <c r="F39" s="335">
        <v>30552072.833855402</v>
      </c>
    </row>
    <row r="40" spans="1:6">
      <c r="A40" s="1205" t="s">
        <v>30</v>
      </c>
      <c r="B40" s="1205" t="s">
        <v>29</v>
      </c>
      <c r="C40" s="335">
        <v>0</v>
      </c>
      <c r="D40" s="335">
        <v>0</v>
      </c>
      <c r="E40" s="335">
        <v>0</v>
      </c>
      <c r="F40" s="335">
        <v>0</v>
      </c>
    </row>
    <row r="41" spans="1:6">
      <c r="A41" s="1205" t="s">
        <v>32</v>
      </c>
      <c r="B41" s="1205" t="s">
        <v>33</v>
      </c>
      <c r="C41" s="335">
        <v>24</v>
      </c>
      <c r="D41" s="335">
        <v>1995247.5063493701</v>
      </c>
      <c r="E41" s="335">
        <v>127</v>
      </c>
      <c r="F41" s="335">
        <v>1581280.2241539401</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11</v>
      </c>
      <c r="F44" s="335">
        <v>881009.17202972097</v>
      </c>
    </row>
    <row r="45" spans="1:6">
      <c r="A45" s="1205" t="s">
        <v>32</v>
      </c>
      <c r="B45" s="1205" t="s">
        <v>37</v>
      </c>
      <c r="C45" s="335">
        <v>0</v>
      </c>
      <c r="D45" s="335">
        <v>0</v>
      </c>
      <c r="E45" s="335">
        <v>3</v>
      </c>
      <c r="F45" s="335">
        <v>22479.094648302598</v>
      </c>
    </row>
    <row r="46" spans="1:6">
      <c r="A46" s="1205" t="s">
        <v>32</v>
      </c>
      <c r="B46" s="1205" t="s">
        <v>38</v>
      </c>
      <c r="C46" s="335">
        <v>0</v>
      </c>
      <c r="D46" s="335">
        <v>0</v>
      </c>
      <c r="E46" s="335">
        <v>0</v>
      </c>
      <c r="F46" s="335">
        <v>0</v>
      </c>
    </row>
    <row r="47" spans="1:6">
      <c r="A47" s="1205" t="s">
        <v>32</v>
      </c>
      <c r="B47" s="1205" t="s">
        <v>39</v>
      </c>
      <c r="C47" s="335">
        <v>0</v>
      </c>
      <c r="D47" s="335">
        <v>0</v>
      </c>
      <c r="E47" s="335">
        <v>4</v>
      </c>
      <c r="F47" s="335">
        <v>180962.637641774</v>
      </c>
    </row>
    <row r="48" spans="1:6">
      <c r="A48" s="1205" t="s">
        <v>32</v>
      </c>
      <c r="B48" s="1205" t="s">
        <v>29</v>
      </c>
      <c r="C48" s="335">
        <v>23</v>
      </c>
      <c r="D48" s="335">
        <v>2216963.6007486801</v>
      </c>
      <c r="E48" s="335">
        <v>31</v>
      </c>
      <c r="F48" s="335">
        <v>3365017.5970430402</v>
      </c>
    </row>
    <row r="49" spans="1:6">
      <c r="A49" s="1205" t="s">
        <v>32</v>
      </c>
      <c r="B49" s="1205" t="s">
        <v>40</v>
      </c>
      <c r="C49" s="335">
        <v>0</v>
      </c>
      <c r="D49" s="335">
        <v>0</v>
      </c>
      <c r="E49" s="335">
        <v>0</v>
      </c>
      <c r="F49" s="335">
        <v>0</v>
      </c>
    </row>
    <row r="50" spans="1:6">
      <c r="A50" s="1205" t="s">
        <v>32</v>
      </c>
      <c r="B50" s="1205" t="s">
        <v>41</v>
      </c>
      <c r="C50" s="335">
        <v>7</v>
      </c>
      <c r="D50" s="335">
        <v>1062783.94510625</v>
      </c>
      <c r="E50" s="335">
        <v>17</v>
      </c>
      <c r="F50" s="335">
        <v>1408801.6750916799</v>
      </c>
    </row>
    <row r="51" spans="1:6">
      <c r="A51" s="1205" t="s">
        <v>42</v>
      </c>
      <c r="B51" s="1205" t="s">
        <v>43</v>
      </c>
      <c r="C51" s="335">
        <v>13</v>
      </c>
      <c r="D51" s="335">
        <v>52981540.148056403</v>
      </c>
      <c r="E51" s="335">
        <v>86</v>
      </c>
      <c r="F51" s="335">
        <v>2177532.8798179501</v>
      </c>
    </row>
    <row r="52" spans="1:6">
      <c r="A52" s="1205" t="s">
        <v>42</v>
      </c>
      <c r="B52" s="1205" t="s">
        <v>29</v>
      </c>
      <c r="C52" s="335">
        <v>5</v>
      </c>
      <c r="D52" s="335">
        <v>545591.46062063798</v>
      </c>
      <c r="E52" s="335">
        <v>12</v>
      </c>
      <c r="F52" s="335">
        <v>154917.13754442599</v>
      </c>
    </row>
    <row r="53" spans="1:6">
      <c r="A53" s="1205" t="s">
        <v>44</v>
      </c>
      <c r="B53" s="1205" t="s">
        <v>45</v>
      </c>
      <c r="C53" s="335">
        <v>80</v>
      </c>
      <c r="D53" s="335">
        <v>47111881.234638102</v>
      </c>
      <c r="E53" s="335">
        <v>181</v>
      </c>
      <c r="F53" s="335">
        <v>898024.68284728203</v>
      </c>
    </row>
    <row r="54" spans="1:6">
      <c r="A54" s="1205" t="s">
        <v>46</v>
      </c>
      <c r="B54" s="1205" t="s">
        <v>47</v>
      </c>
      <c r="C54" s="335">
        <v>0</v>
      </c>
      <c r="D54" s="335">
        <v>0</v>
      </c>
      <c r="E54" s="335">
        <v>1</v>
      </c>
      <c r="F54" s="335">
        <v>1032350</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23</v>
      </c>
      <c r="D57" s="335">
        <v>676430.33217982703</v>
      </c>
      <c r="E57" s="335">
        <v>62</v>
      </c>
      <c r="F57" s="335">
        <v>752853.25975368998</v>
      </c>
    </row>
    <row r="58" spans="1:6">
      <c r="A58" s="1205" t="s">
        <v>49</v>
      </c>
      <c r="B58" s="1205" t="s">
        <v>51</v>
      </c>
      <c r="C58" s="335">
        <v>0</v>
      </c>
      <c r="D58" s="335">
        <v>0</v>
      </c>
      <c r="E58" s="335">
        <v>13</v>
      </c>
      <c r="F58" s="335">
        <v>132873.42553679401</v>
      </c>
    </row>
    <row r="59" spans="1:6">
      <c r="A59" s="1205" t="s">
        <v>49</v>
      </c>
      <c r="B59" s="1205" t="s">
        <v>52</v>
      </c>
      <c r="C59" s="335">
        <v>53</v>
      </c>
      <c r="D59" s="335">
        <v>1941080.63028126</v>
      </c>
      <c r="E59" s="335">
        <v>198</v>
      </c>
      <c r="F59" s="335">
        <v>5556175.1935618501</v>
      </c>
    </row>
    <row r="60" spans="1:6">
      <c r="A60" s="1205" t="s">
        <v>49</v>
      </c>
      <c r="B60" s="1205" t="s">
        <v>53</v>
      </c>
      <c r="C60" s="335">
        <v>38</v>
      </c>
      <c r="D60" s="335">
        <v>1706048.34028166</v>
      </c>
      <c r="E60" s="335">
        <v>71</v>
      </c>
      <c r="F60" s="335">
        <v>1574556.4035497601</v>
      </c>
    </row>
    <row r="61" spans="1:6">
      <c r="A61" s="1205" t="s">
        <v>49</v>
      </c>
      <c r="B61" s="1205" t="s">
        <v>54</v>
      </c>
      <c r="C61" s="335">
        <v>68</v>
      </c>
      <c r="D61" s="335">
        <v>3711999.16777782</v>
      </c>
      <c r="E61" s="335">
        <v>212</v>
      </c>
      <c r="F61" s="335">
        <v>3103183.0015025199</v>
      </c>
    </row>
    <row r="62" spans="1:6">
      <c r="A62" s="1205" t="s">
        <v>49</v>
      </c>
      <c r="B62" s="1205" t="s">
        <v>55</v>
      </c>
      <c r="C62" s="335">
        <v>0</v>
      </c>
      <c r="D62" s="335">
        <v>0</v>
      </c>
      <c r="E62" s="335">
        <v>7</v>
      </c>
      <c r="F62" s="335">
        <v>177042.973453899</v>
      </c>
    </row>
    <row r="63" spans="1:6">
      <c r="A63" s="1205" t="s">
        <v>49</v>
      </c>
      <c r="B63" s="1205" t="s">
        <v>29</v>
      </c>
      <c r="C63" s="335">
        <v>72</v>
      </c>
      <c r="D63" s="335">
        <v>36671704.936492503</v>
      </c>
      <c r="E63" s="335">
        <v>84</v>
      </c>
      <c r="F63" s="335">
        <v>1503988.08793322</v>
      </c>
    </row>
    <row r="64" spans="1:6">
      <c r="A64" s="1205" t="s">
        <v>56</v>
      </c>
      <c r="B64" s="1205" t="s">
        <v>57</v>
      </c>
      <c r="C64" s="335">
        <v>0</v>
      </c>
      <c r="D64" s="335">
        <v>0</v>
      </c>
      <c r="E64" s="335">
        <v>0</v>
      </c>
      <c r="F64" s="335">
        <v>0</v>
      </c>
    </row>
    <row r="65" spans="1:6">
      <c r="A65" s="1205" t="s">
        <v>56</v>
      </c>
      <c r="B65" s="1205" t="s">
        <v>29</v>
      </c>
      <c r="C65" s="335">
        <v>3</v>
      </c>
      <c r="D65" s="335">
        <v>160078.08702066299</v>
      </c>
      <c r="E65" s="335">
        <v>2</v>
      </c>
      <c r="F65" s="335">
        <v>8716.9767123862002</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11</v>
      </c>
      <c r="F68" s="335">
        <v>148414.58347222299</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100311002</v>
      </c>
      <c r="E73" s="335">
        <v>104539095.31530625</v>
      </c>
    </row>
    <row r="74" spans="1:6">
      <c r="A74" s="1205" t="s">
        <v>64</v>
      </c>
      <c r="B74" s="1205" t="s">
        <v>772</v>
      </c>
      <c r="C74" s="1216" t="s">
        <v>766</v>
      </c>
      <c r="D74" s="335">
        <v>5970602.9998052157</v>
      </c>
      <c r="E74" s="335">
        <v>6461506.4001504732</v>
      </c>
    </row>
    <row r="75" spans="1:6">
      <c r="A75" s="1205" t="s">
        <v>65</v>
      </c>
      <c r="B75" s="1205" t="s">
        <v>771</v>
      </c>
      <c r="C75" s="1216" t="s">
        <v>767</v>
      </c>
      <c r="D75" s="335">
        <v>21052839</v>
      </c>
      <c r="E75" s="335">
        <v>21940216.220402453</v>
      </c>
    </row>
    <row r="76" spans="1:6">
      <c r="A76" s="1205" t="s">
        <v>65</v>
      </c>
      <c r="B76" s="1205" t="s">
        <v>772</v>
      </c>
      <c r="C76" s="1216" t="s">
        <v>768</v>
      </c>
      <c r="D76" s="335">
        <v>122040.99980521583</v>
      </c>
      <c r="E76" s="335">
        <v>161910.81139416044</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451910.00038956833</v>
      </c>
      <c r="C83" s="335">
        <v>425401.62145523354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2569.905118560082</v>
      </c>
    </row>
    <row r="92" spans="1:6">
      <c r="A92" s="1201" t="s">
        <v>69</v>
      </c>
      <c r="B92" s="338">
        <v>301.13638578365061</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1455</v>
      </c>
    </row>
    <row r="98" spans="1:6">
      <c r="A98" s="1205" t="s">
        <v>72</v>
      </c>
      <c r="B98" s="335">
        <v>17</v>
      </c>
    </row>
    <row r="99" spans="1:6">
      <c r="A99" s="1205" t="s">
        <v>73</v>
      </c>
      <c r="B99" s="335">
        <v>84</v>
      </c>
    </row>
    <row r="100" spans="1:6">
      <c r="A100" s="1205" t="s">
        <v>74</v>
      </c>
      <c r="B100" s="335">
        <v>402</v>
      </c>
    </row>
    <row r="101" spans="1:6">
      <c r="A101" s="1205" t="s">
        <v>75</v>
      </c>
      <c r="B101" s="335">
        <v>55</v>
      </c>
    </row>
    <row r="102" spans="1:6">
      <c r="A102" s="1205" t="s">
        <v>76</v>
      </c>
      <c r="B102" s="335">
        <v>81</v>
      </c>
    </row>
    <row r="103" spans="1:6">
      <c r="A103" s="1205" t="s">
        <v>77</v>
      </c>
      <c r="B103" s="335">
        <v>190</v>
      </c>
    </row>
    <row r="104" spans="1:6">
      <c r="A104" s="1205" t="s">
        <v>78</v>
      </c>
      <c r="B104" s="335">
        <v>3725</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2</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17</v>
      </c>
      <c r="C123" s="335">
        <v>17</v>
      </c>
    </row>
    <row r="124" spans="1:6">
      <c r="A124" s="1201" t="s">
        <v>89</v>
      </c>
      <c r="B124" s="335">
        <v>1</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54</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56729.554214371972</v>
      </c>
      <c r="C3" s="44" t="s">
        <v>170</v>
      </c>
      <c r="D3" s="44"/>
      <c r="E3" s="157"/>
      <c r="F3" s="44"/>
      <c r="G3" s="44"/>
      <c r="H3" s="44"/>
      <c r="I3" s="44"/>
      <c r="J3" s="44"/>
      <c r="K3" s="97"/>
    </row>
    <row r="4" spans="1:11">
      <c r="A4" s="365" t="s">
        <v>171</v>
      </c>
      <c r="B4" s="50">
        <f>IF(ISERROR('SEAP template'!B69),0,'SEAP template'!B69)</f>
        <v>50800.541504343732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10719.106427398554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0.21204852396437904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14989.776876172878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67025.410714285725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0.22364319317744924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1032.3499999999999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1032.3499999999999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0.21204852396437904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218.90829371462669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30552.0728338554</v>
      </c>
      <c r="C5" s="18">
        <f>IF(ISERROR('Eigen informatie GS &amp; warmtenet'!B57),0,'Eigen informatie GS &amp; warmtenet'!B57)</f>
        <v>0</v>
      </c>
      <c r="D5" s="31">
        <f>(SUM(HH_hh_gas_kWh,HH_rest_gas_kWh)/1000)*0.902</f>
        <v>54090.922408069775</v>
      </c>
      <c r="E5" s="18">
        <f>B46*B57</f>
        <v>5293.1423409006366</v>
      </c>
      <c r="F5" s="18">
        <f>B51*B62</f>
        <v>40095.652969110844</v>
      </c>
      <c r="G5" s="19"/>
      <c r="H5" s="18"/>
      <c r="I5" s="18"/>
      <c r="J5" s="18">
        <f>B50*B61+C50*C61</f>
        <v>56.802633878717614</v>
      </c>
      <c r="K5" s="18"/>
      <c r="L5" s="18"/>
      <c r="M5" s="18"/>
      <c r="N5" s="18">
        <f>B48*B59+C48*C59</f>
        <v>11255.163570239754</v>
      </c>
      <c r="O5" s="18">
        <f>B69*B70*B71</f>
        <v>110.99666666666667</v>
      </c>
      <c r="P5" s="18">
        <f>B77*B78*B79/1000-B77*B78*B79/1000/B80</f>
        <v>495.73333333333335</v>
      </c>
    </row>
    <row r="6" spans="1:16">
      <c r="A6" s="17" t="s">
        <v>639</v>
      </c>
      <c r="B6" s="831">
        <f>kWh_PV_kleiner_dan_10kW</f>
        <v>2569.905118560082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33121.97795241548</v>
      </c>
      <c r="C8" s="22">
        <f>C5</f>
        <v>0</v>
      </c>
      <c r="D8" s="22">
        <f>D5</f>
        <v>54090.922408069775</v>
      </c>
      <c r="E8" s="22">
        <f>E5</f>
        <v>5293.1423409006366</v>
      </c>
      <c r="F8" s="22">
        <f>F5</f>
        <v>40095.652969110844</v>
      </c>
      <c r="G8" s="22"/>
      <c r="H8" s="22"/>
      <c r="I8" s="22"/>
      <c r="J8" s="22">
        <f>J5</f>
        <v>56.802633878717614</v>
      </c>
      <c r="K8" s="22"/>
      <c r="L8" s="22">
        <f>L5</f>
        <v>0</v>
      </c>
      <c r="M8" s="22">
        <f>M5</f>
        <v>0</v>
      </c>
      <c r="N8" s="22">
        <f>N5</f>
        <v>11255.163570239754</v>
      </c>
      <c r="O8" s="22">
        <f>O5</f>
        <v>110.99666666666667</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0.21204852396437904</v>
      </c>
      <c r="C10" s="26">
        <f ca="1">'EF ele_warmte'!B22</f>
        <v>0.22364319317744924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7023.4665355904081</v>
      </c>
      <c r="C12" s="24">
        <f ca="1">C10*C8</f>
        <v>0</v>
      </c>
      <c r="D12" s="24">
        <f>D8*D10</f>
        <v>10926.366326430096</v>
      </c>
      <c r="E12" s="24">
        <f>E10*E8</f>
        <v>1201.5433113844445</v>
      </c>
      <c r="F12" s="24">
        <f>F10*F8</f>
        <v>10705.539342752596</v>
      </c>
      <c r="G12" s="24"/>
      <c r="H12" s="24"/>
      <c r="I12" s="24"/>
      <c r="J12" s="24">
        <f>J10*J8</f>
        <v>20.108132393066036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1455</v>
      </c>
      <c r="C18" s="169" t="s">
        <v>111</v>
      </c>
      <c r="D18" s="231"/>
      <c r="E18" s="16"/>
    </row>
    <row r="19" spans="1:7">
      <c r="A19" s="174" t="s">
        <v>72</v>
      </c>
      <c r="B19" s="38">
        <f>aantalw2001_ander</f>
        <v>17</v>
      </c>
      <c r="C19" s="169" t="s">
        <v>111</v>
      </c>
      <c r="D19" s="232"/>
      <c r="E19" s="16"/>
    </row>
    <row r="20" spans="1:7">
      <c r="A20" s="174" t="s">
        <v>73</v>
      </c>
      <c r="B20" s="38">
        <f>aantalw2001_propaan</f>
        <v>84</v>
      </c>
      <c r="C20" s="170">
        <f>IF(ISERROR(B20/SUM($B$20,$B$21,$B$22)*100),0,B20/SUM($B$20,$B$21,$B$22)*100)</f>
        <v>15.526802218114602</v>
      </c>
      <c r="D20" s="232"/>
      <c r="E20" s="16"/>
    </row>
    <row r="21" spans="1:7">
      <c r="A21" s="174" t="s">
        <v>74</v>
      </c>
      <c r="B21" s="38">
        <f>aantalw2001_elektriciteit</f>
        <v>402</v>
      </c>
      <c r="C21" s="170">
        <f>IF(ISERROR(B21/SUM($B$20,$B$21,$B$22)*100),0,B21/SUM($B$20,$B$21,$B$22)*100)</f>
        <v>74.306839186691306</v>
      </c>
      <c r="D21" s="232"/>
      <c r="E21" s="16"/>
    </row>
    <row r="22" spans="1:7">
      <c r="A22" s="174" t="s">
        <v>75</v>
      </c>
      <c r="B22" s="38">
        <f>aantalw2001_hout</f>
        <v>55</v>
      </c>
      <c r="C22" s="170">
        <f>IF(ISERROR(B22/SUM($B$20,$B$21,$B$22)*100),0,B22/SUM($B$20,$B$21,$B$22)*100)</f>
        <v>10.166358595194085</v>
      </c>
      <c r="D22" s="232"/>
      <c r="E22" s="16"/>
    </row>
    <row r="23" spans="1:7">
      <c r="A23" s="174" t="s">
        <v>76</v>
      </c>
      <c r="B23" s="38">
        <f>aantalw2001_niet_gespec</f>
        <v>81</v>
      </c>
      <c r="C23" s="169" t="s">
        <v>111</v>
      </c>
      <c r="D23" s="231"/>
      <c r="E23" s="16"/>
    </row>
    <row r="24" spans="1:7">
      <c r="A24" s="174" t="s">
        <v>77</v>
      </c>
      <c r="B24" s="38">
        <f>aantalw2001_steenkool</f>
        <v>190</v>
      </c>
      <c r="C24" s="169" t="s">
        <v>111</v>
      </c>
      <c r="D24" s="232"/>
      <c r="E24" s="16"/>
    </row>
    <row r="25" spans="1:7">
      <c r="A25" s="174" t="s">
        <v>78</v>
      </c>
      <c r="B25" s="38">
        <f>aantalw2001_stookolie</f>
        <v>3725</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6943</v>
      </c>
      <c r="C28" s="37"/>
      <c r="D28" s="231"/>
    </row>
    <row r="29" spans="1:7" s="16" customFormat="1">
      <c r="A29" s="233" t="s">
        <v>666</v>
      </c>
      <c r="B29" s="38">
        <f>SUM(HH_hh_gas_aantal,HH_rest_gas_aantal)</f>
        <v>3337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3337</v>
      </c>
      <c r="C32" s="170">
        <f>IF(ISERROR(B32/SUM($B$32,$B$34,$B$35,$B$36,$B$38,$B$39)*100),0,B32/SUM($B$32,$B$34,$B$35,$B$36,$B$38,$B$39)*100)</f>
        <v>48.243458146595351</v>
      </c>
      <c r="D32" s="236"/>
      <c r="G32" s="16"/>
    </row>
    <row r="33" spans="1:7">
      <c r="A33" s="174" t="s">
        <v>72</v>
      </c>
      <c r="B33" s="35" t="s">
        <v>111</v>
      </c>
      <c r="C33" s="170"/>
      <c r="D33" s="236"/>
      <c r="G33" s="16"/>
    </row>
    <row r="34" spans="1:7">
      <c r="A34" s="174" t="s">
        <v>73</v>
      </c>
      <c r="B34" s="34">
        <f>IF((($B$28-$B$32-$B$39-$B$77-$B$38)*C20/100)&lt;0,0,($B$28-$B$32-$B$39-$B$77-$B$38)*C20/100)</f>
        <v>240.19963031423288</v>
      </c>
      <c r="C34" s="170">
        <f>IF(ISERROR(B34/SUM($B$32,$B$34,$B$35,$B$36,$B$38,$B$39)*100),0,B34/SUM($B$32,$B$34,$B$35,$B$36,$B$38,$B$39)*100)</f>
        <v>3.4725983853438329</v>
      </c>
      <c r="D34" s="236"/>
      <c r="G34" s="16"/>
    </row>
    <row r="35" spans="1:7">
      <c r="A35" s="174" t="s">
        <v>74</v>
      </c>
      <c r="B35" s="34">
        <f>IF((($B$28-$B$32-$B$39-$B$77-$B$38)*C21/100)&lt;0,0,($B$28-$B$32-$B$39-$B$77-$B$38)*C21/100)</f>
        <v>1149.5268022181144</v>
      </c>
      <c r="C35" s="170">
        <f>IF(ISERROR(B35/SUM($B$32,$B$34,$B$35,$B$36,$B$38,$B$39)*100),0,B35/SUM($B$32,$B$34,$B$35,$B$36,$B$38,$B$39)*100)</f>
        <v>16.61886370128834</v>
      </c>
      <c r="D35" s="236"/>
      <c r="G35" s="16"/>
    </row>
    <row r="36" spans="1:7">
      <c r="A36" s="174" t="s">
        <v>75</v>
      </c>
      <c r="B36" s="34">
        <f>IF((($B$28-$B$32-$B$39-$B$77-$B$38)*C22/100)&lt;0,0,($B$28-$B$32-$B$39-$B$77-$B$38)*C22/100)</f>
        <v>157.2735674676525</v>
      </c>
      <c r="C36" s="170">
        <f>IF(ISERROR(B36/SUM($B$32,$B$34,$B$35,$B$36,$B$38,$B$39)*100),0,B36/SUM($B$32,$B$34,$B$35,$B$36,$B$38,$B$39)*100)</f>
        <v>2.273725133260843</v>
      </c>
      <c r="D36" s="236"/>
      <c r="G36" s="16"/>
    </row>
    <row r="37" spans="1:7">
      <c r="A37" s="174" t="s">
        <v>76</v>
      </c>
      <c r="B37" s="35" t="s">
        <v>111</v>
      </c>
      <c r="C37" s="170"/>
      <c r="D37" s="176"/>
      <c r="G37" s="16"/>
    </row>
    <row r="38" spans="1:7">
      <c r="A38" s="174" t="s">
        <v>77</v>
      </c>
      <c r="B38" s="34">
        <f>IF((B24-(B29-B18)*0.1)&lt;0,0,B24-(B29-B18)*0.1)</f>
        <v>1.7999999999999829</v>
      </c>
      <c r="C38" s="170">
        <f>IF(ISERROR(B38/SUM($B$32,$B$34,$B$35,$B$36,$B$38,$B$39)*100),0,B38/SUM($B$32,$B$34,$B$35,$B$36,$B$38,$B$39)*100)</f>
        <v>2.6022842272661315E-2</v>
      </c>
      <c r="D38" s="237"/>
      <c r="G38" s="16"/>
    </row>
    <row r="39" spans="1:7">
      <c r="A39" s="174" t="s">
        <v>78</v>
      </c>
      <c r="B39" s="34">
        <f>IF((B25-(B29-B18))&lt;0,0,B25-(B29-B18)*0.9)</f>
        <v>2031.2</v>
      </c>
      <c r="C39" s="170">
        <f>IF(ISERROR(B39/SUM($B$32,$B$34,$B$35,$B$36,$B$38,$B$39)*100),0,B39/SUM($B$32,$B$34,$B$35,$B$36,$B$38,$B$39)*100)</f>
        <v>29.36533179123898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3337</v>
      </c>
      <c r="C44" s="35" t="s">
        <v>111</v>
      </c>
      <c r="D44" s="177"/>
    </row>
    <row r="45" spans="1:7">
      <c r="A45" s="174" t="s">
        <v>72</v>
      </c>
      <c r="B45" s="34" t="str">
        <f t="shared" si="0"/>
        <v>-</v>
      </c>
      <c r="C45" s="35" t="s">
        <v>111</v>
      </c>
      <c r="D45" s="177"/>
    </row>
    <row r="46" spans="1:7">
      <c r="A46" s="174" t="s">
        <v>73</v>
      </c>
      <c r="B46" s="34">
        <f t="shared" si="0"/>
        <v>240.19963031423288</v>
      </c>
      <c r="C46" s="35" t="s">
        <v>111</v>
      </c>
      <c r="D46" s="177"/>
    </row>
    <row r="47" spans="1:7">
      <c r="A47" s="174" t="s">
        <v>74</v>
      </c>
      <c r="B47" s="34">
        <f t="shared" si="0"/>
        <v>1149.5268022181144</v>
      </c>
      <c r="C47" s="35" t="s">
        <v>111</v>
      </c>
      <c r="D47" s="177"/>
    </row>
    <row r="48" spans="1:7">
      <c r="A48" s="174" t="s">
        <v>75</v>
      </c>
      <c r="B48" s="34">
        <f t="shared" si="0"/>
        <v>157.2735674676525</v>
      </c>
      <c r="C48" s="34">
        <f>B48*10</f>
        <v>1572.7356746765249</v>
      </c>
      <c r="D48" s="237"/>
    </row>
    <row r="49" spans="1:6">
      <c r="A49" s="174" t="s">
        <v>76</v>
      </c>
      <c r="B49" s="34" t="str">
        <f t="shared" si="0"/>
        <v>-</v>
      </c>
      <c r="C49" s="35" t="s">
        <v>111</v>
      </c>
      <c r="D49" s="237"/>
    </row>
    <row r="50" spans="1:6">
      <c r="A50" s="174" t="s">
        <v>77</v>
      </c>
      <c r="B50" s="34">
        <f t="shared" si="0"/>
        <v>1.7999999999999829</v>
      </c>
      <c r="C50" s="34">
        <f>B50*2</f>
        <v>3.5999999999999659</v>
      </c>
      <c r="D50" s="237"/>
    </row>
    <row r="51" spans="1:6">
      <c r="A51" s="174" t="s">
        <v>78</v>
      </c>
      <c r="B51" s="34">
        <f t="shared" si="0"/>
        <v>2031.2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12800.672345291734</v>
      </c>
      <c r="C5" s="18">
        <f>IF(ISERROR('Eigen informatie GS &amp; warmtenet'!B58),0,'Eigen informatie GS &amp; warmtenet'!B58)</f>
        <v>0</v>
      </c>
      <c r="D5" s="31">
        <f>SUM(D6:D12)</f>
        <v>40325.951593125792</v>
      </c>
      <c r="E5" s="18">
        <f>SUM(E6:E12)</f>
        <v>136.11658449490457</v>
      </c>
      <c r="F5" s="18">
        <f>SUM(F6:F12)</f>
        <v>2492.4064101107429</v>
      </c>
      <c r="G5" s="19"/>
      <c r="H5" s="18"/>
      <c r="I5" s="18"/>
      <c r="J5" s="18">
        <f>SUM(J6:J12)</f>
        <v>0</v>
      </c>
      <c r="K5" s="18"/>
      <c r="L5" s="18"/>
      <c r="M5" s="18"/>
      <c r="N5" s="18">
        <f>SUM(N6:N12)</f>
        <v>563.36122270221563</v>
      </c>
      <c r="O5" s="18">
        <f>B38*B39*B40</f>
        <v>0</v>
      </c>
      <c r="P5" s="18">
        <f>B46*B47*B48/1000-B46*B47*B48/1000/B49</f>
        <v>0</v>
      </c>
      <c r="R5" s="33"/>
    </row>
    <row r="6" spans="1:18">
      <c r="A6" s="33" t="s">
        <v>54</v>
      </c>
      <c r="B6" s="38">
        <f>B26</f>
        <v>3103.1830015025198</v>
      </c>
      <c r="C6" s="34"/>
      <c r="D6" s="38">
        <f>IF(ISERROR(TER_kantoor_gas_kWh/1000),0,TER_kantoor_gas_kWh/1000)*0.902</f>
        <v>3348.2232493355937</v>
      </c>
      <c r="E6" s="34">
        <f>$C$26*'E Balans VL '!I12/100/3.6*1000000</f>
        <v>5.0929522457150034</v>
      </c>
      <c r="F6" s="34">
        <f>$C$26*('E Balans VL '!L12+'E Balans VL '!N12)/100/3.6*1000000</f>
        <v>365.79226194610999</v>
      </c>
      <c r="G6" s="35"/>
      <c r="H6" s="34"/>
      <c r="I6" s="34"/>
      <c r="J6" s="34">
        <f>$C$26*('E Balans VL '!D12+'E Balans VL '!E12)/100/3.6*1000000</f>
        <v>0</v>
      </c>
      <c r="K6" s="34"/>
      <c r="L6" s="34"/>
      <c r="M6" s="34"/>
      <c r="N6" s="34">
        <f>$C$26*'E Balans VL '!Y12/100/3.6*1000000</f>
        <v>0.62698343067904916</v>
      </c>
      <c r="O6" s="34"/>
      <c r="P6" s="34"/>
      <c r="R6" s="33"/>
    </row>
    <row r="7" spans="1:18">
      <c r="A7" s="33" t="s">
        <v>53</v>
      </c>
      <c r="B7" s="38">
        <f t="shared" ref="B7:B12" si="0">B27</f>
        <v>1574.55640354976</v>
      </c>
      <c r="C7" s="34"/>
      <c r="D7" s="38">
        <f>IF(ISERROR(TER_horeca_gas_kWh/1000),0,TER_horeca_gas_kWh/1000)*0.902</f>
        <v>1538.8556029340573</v>
      </c>
      <c r="E7" s="34">
        <f>$C$27*'E Balans VL '!I9/100/3.6*1000000</f>
        <v>81.708083610279644</v>
      </c>
      <c r="F7" s="34">
        <f>$C$27*('E Balans VL '!L9+'E Balans VL '!N9)/100/3.6*1000000</f>
        <v>359.31491379384414</v>
      </c>
      <c r="G7" s="35"/>
      <c r="H7" s="34"/>
      <c r="I7" s="34"/>
      <c r="J7" s="34">
        <f>$C$27*('E Balans VL '!D9+'E Balans VL '!E9)/100/3.6*1000000</f>
        <v>0</v>
      </c>
      <c r="K7" s="34"/>
      <c r="L7" s="34"/>
      <c r="M7" s="34"/>
      <c r="N7" s="34">
        <f>$C$27*'E Balans VL '!Y9/100/3.6*1000000</f>
        <v>0.16627243464290242</v>
      </c>
      <c r="O7" s="34"/>
      <c r="P7" s="34"/>
      <c r="R7" s="33"/>
    </row>
    <row r="8" spans="1:18">
      <c r="A8" s="6" t="s">
        <v>52</v>
      </c>
      <c r="B8" s="38">
        <f t="shared" si="0"/>
        <v>5556.1751935618504</v>
      </c>
      <c r="C8" s="34"/>
      <c r="D8" s="38">
        <f>IF(ISERROR(TER_handel_gas_kWh/1000),0,TER_handel_gas_kWh/1000)*0.902</f>
        <v>1750.8547285136965</v>
      </c>
      <c r="E8" s="34">
        <f>$C$28*'E Balans VL '!I13/100/3.6*1000000</f>
        <v>29.920686180515293</v>
      </c>
      <c r="F8" s="34">
        <f>$C$28*('E Balans VL '!L13+'E Balans VL '!N13)/100/3.6*1000000</f>
        <v>1133.0692366226715</v>
      </c>
      <c r="G8" s="35"/>
      <c r="H8" s="34"/>
      <c r="I8" s="34"/>
      <c r="J8" s="34">
        <f>$C$28*('E Balans VL '!D13+'E Balans VL '!E13)/100/3.6*1000000</f>
        <v>0</v>
      </c>
      <c r="K8" s="34"/>
      <c r="L8" s="34"/>
      <c r="M8" s="34"/>
      <c r="N8" s="34">
        <f>$C$28*'E Balans VL '!Y13/100/3.6*1000000</f>
        <v>27.62792510552795</v>
      </c>
      <c r="O8" s="34"/>
      <c r="P8" s="34"/>
      <c r="R8" s="33"/>
    </row>
    <row r="9" spans="1:18">
      <c r="A9" s="33" t="s">
        <v>51</v>
      </c>
      <c r="B9" s="38">
        <f t="shared" si="0"/>
        <v>132.873425536794</v>
      </c>
      <c r="C9" s="34"/>
      <c r="D9" s="38">
        <f>IF(ISERROR(TER_gezond_gas_kWh/1000),0,TER_gezond_gas_kWh/1000)*0.902</f>
        <v>0</v>
      </c>
      <c r="E9" s="34">
        <f>$C$29*'E Balans VL '!I10/100/3.6*1000000</f>
        <v>0.13167907573730453</v>
      </c>
      <c r="F9" s="34">
        <f>$C$29*('E Balans VL '!L10+'E Balans VL '!N10)/100/3.6*1000000</f>
        <v>46.103248731709201</v>
      </c>
      <c r="G9" s="35"/>
      <c r="H9" s="34"/>
      <c r="I9" s="34"/>
      <c r="J9" s="34">
        <f>$C$29*('E Balans VL '!D10+'E Balans VL '!E10)/100/3.6*1000000</f>
        <v>0</v>
      </c>
      <c r="K9" s="34"/>
      <c r="L9" s="34"/>
      <c r="M9" s="34"/>
      <c r="N9" s="34">
        <f>$C$29*'E Balans VL '!Y10/100/3.6*1000000</f>
        <v>1.1449587970808859</v>
      </c>
      <c r="O9" s="34"/>
      <c r="P9" s="34"/>
      <c r="R9" s="33"/>
    </row>
    <row r="10" spans="1:18">
      <c r="A10" s="33" t="s">
        <v>50</v>
      </c>
      <c r="B10" s="38">
        <f t="shared" si="0"/>
        <v>752.85325975368994</v>
      </c>
      <c r="C10" s="34"/>
      <c r="D10" s="38">
        <f>IF(ISERROR(TER_ander_gas_kWh/1000),0,TER_ander_gas_kWh/1000)*0.902</f>
        <v>610.14015962620397</v>
      </c>
      <c r="E10" s="34">
        <f>$C$30*'E Balans VL '!I14/100/3.6*1000000</f>
        <v>6.1590920880323505</v>
      </c>
      <c r="F10" s="34">
        <f>$C$30*('E Balans VL '!L14+'E Balans VL '!N14)/100/3.6*1000000</f>
        <v>220.10364322636173</v>
      </c>
      <c r="G10" s="35"/>
      <c r="H10" s="34"/>
      <c r="I10" s="34"/>
      <c r="J10" s="34">
        <f>$C$30*('E Balans VL '!D14+'E Balans VL '!E14)/100/3.6*1000000</f>
        <v>0</v>
      </c>
      <c r="K10" s="34"/>
      <c r="L10" s="34"/>
      <c r="M10" s="34"/>
      <c r="N10" s="34">
        <f>$C$30*'E Balans VL '!Y14/100/3.6*1000000</f>
        <v>434.29754818361198</v>
      </c>
      <c r="O10" s="34"/>
      <c r="P10" s="34"/>
      <c r="R10" s="33"/>
    </row>
    <row r="11" spans="1:18">
      <c r="A11" s="33" t="s">
        <v>55</v>
      </c>
      <c r="B11" s="38">
        <f t="shared" si="0"/>
        <v>177.04297345389901</v>
      </c>
      <c r="C11" s="34"/>
      <c r="D11" s="38">
        <f>IF(ISERROR(TER_onderwijs_gas_kWh/1000),0,TER_onderwijs_gas_kWh/1000)*0.902</f>
        <v>0</v>
      </c>
      <c r="E11" s="34">
        <f>$C$31*'E Balans VL '!I11/100/3.6*1000000</f>
        <v>0.10912181865227978</v>
      </c>
      <c r="F11" s="34">
        <f>$C$31*('E Balans VL '!L11+'E Balans VL '!N11)/100/3.6*1000000</f>
        <v>68.447680689686919</v>
      </c>
      <c r="G11" s="35"/>
      <c r="H11" s="34"/>
      <c r="I11" s="34"/>
      <c r="J11" s="34">
        <f>$C$31*('E Balans VL '!D11+'E Balans VL '!E11)/100/3.6*1000000</f>
        <v>0</v>
      </c>
      <c r="K11" s="34"/>
      <c r="L11" s="34"/>
      <c r="M11" s="34"/>
      <c r="N11" s="34">
        <f>$C$31*'E Balans VL '!Y11/100/3.6*1000000</f>
        <v>0.57588285314638521</v>
      </c>
      <c r="O11" s="34"/>
      <c r="P11" s="34"/>
      <c r="R11" s="33"/>
    </row>
    <row r="12" spans="1:18">
      <c r="A12" s="33" t="s">
        <v>260</v>
      </c>
      <c r="B12" s="38">
        <f t="shared" si="0"/>
        <v>1503.98808793322</v>
      </c>
      <c r="C12" s="34"/>
      <c r="D12" s="38">
        <f>IF(ISERROR(TER_rest_gas_kWh/1000),0,TER_rest_gas_kWh/1000)*0.902</f>
        <v>33077.877852716243</v>
      </c>
      <c r="E12" s="34">
        <f>$C$32*'E Balans VL '!I8/100/3.6*1000000</f>
        <v>12.994969475972688</v>
      </c>
      <c r="F12" s="34">
        <f>$C$32*('E Balans VL '!L8+'E Balans VL '!N8)/100/3.6*1000000</f>
        <v>299.57542510035961</v>
      </c>
      <c r="G12" s="35"/>
      <c r="H12" s="34"/>
      <c r="I12" s="34"/>
      <c r="J12" s="34">
        <f>$C$32*('E Balans VL '!D8+'E Balans VL '!E8)/100/3.6*1000000</f>
        <v>0</v>
      </c>
      <c r="K12" s="34"/>
      <c r="L12" s="34"/>
      <c r="M12" s="34"/>
      <c r="N12" s="34">
        <f>$C$32*'E Balans VL '!Y8/100/3.6*1000000</f>
        <v>98.921651897526516</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12800.672345291734</v>
      </c>
      <c r="C16" s="22">
        <f t="shared" ca="1" si="1"/>
        <v>0</v>
      </c>
      <c r="D16" s="22">
        <f t="shared" ca="1" si="1"/>
        <v>40325.951593125792</v>
      </c>
      <c r="E16" s="22">
        <f t="shared" si="1"/>
        <v>136.11658449490457</v>
      </c>
      <c r="F16" s="22">
        <f t="shared" ca="1" si="1"/>
        <v>2492.4064101107429</v>
      </c>
      <c r="G16" s="22">
        <f t="shared" si="1"/>
        <v>0</v>
      </c>
      <c r="H16" s="22">
        <f t="shared" si="1"/>
        <v>0</v>
      </c>
      <c r="I16" s="22">
        <f t="shared" si="1"/>
        <v>0</v>
      </c>
      <c r="J16" s="22">
        <f t="shared" si="1"/>
        <v>0</v>
      </c>
      <c r="K16" s="22">
        <f t="shared" si="1"/>
        <v>0</v>
      </c>
      <c r="L16" s="22">
        <f t="shared" ca="1" si="1"/>
        <v>0</v>
      </c>
      <c r="M16" s="22">
        <f t="shared" si="1"/>
        <v>0</v>
      </c>
      <c r="N16" s="22">
        <f t="shared" ca="1" si="1"/>
        <v>563.36122270221563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0.21204852396437904</v>
      </c>
      <c r="C18" s="26">
        <f ca="1">'EF ele_warmte'!B22</f>
        <v>0.22364319317744924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2714.3636765707583</v>
      </c>
      <c r="C20" s="24">
        <f t="shared" ref="C20:P20" ca="1" si="2">C16*C18</f>
        <v>0</v>
      </c>
      <c r="D20" s="24">
        <f t="shared" ca="1" si="2"/>
        <v>8145.8422218114101</v>
      </c>
      <c r="E20" s="24">
        <f t="shared" si="2"/>
        <v>30.898464680343338</v>
      </c>
      <c r="F20" s="24">
        <f t="shared" ca="1" si="2"/>
        <v>665.47251149956833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3103.1830015025198</v>
      </c>
      <c r="C26" s="40">
        <f>IF(ISERROR(B26*3.6/1000000/'E Balans VL '!Z12*100),0,B26*3.6/1000000/'E Balans VL '!Z12*100)</f>
        <v>6.594041339306389E-2</v>
      </c>
      <c r="D26" s="240" t="s">
        <v>707</v>
      </c>
      <c r="F26" s="6"/>
    </row>
    <row r="27" spans="1:18">
      <c r="A27" s="234" t="s">
        <v>53</v>
      </c>
      <c r="B27" s="34">
        <f>IF(ISERROR(TER_horeca_ele_kWh/1000),0,TER_horeca_ele_kWh/1000)</f>
        <v>1574.55640354976</v>
      </c>
      <c r="C27" s="40">
        <f>IF(ISERROR(B27*3.6/1000000/'E Balans VL '!Z9*100),0,B27*3.6/1000000/'E Balans VL '!Z9*100)</f>
        <v>0.12392976495123165</v>
      </c>
      <c r="D27" s="240" t="s">
        <v>707</v>
      </c>
      <c r="F27" s="6"/>
    </row>
    <row r="28" spans="1:18">
      <c r="A28" s="174" t="s">
        <v>52</v>
      </c>
      <c r="B28" s="34">
        <f>IF(ISERROR(TER_handel_ele_kWh/1000),0,TER_handel_ele_kWh/1000)</f>
        <v>5556.1751935618504</v>
      </c>
      <c r="C28" s="40">
        <f>IF(ISERROR(B28*3.6/1000000/'E Balans VL '!Z13*100),0,B28*3.6/1000000/'E Balans VL '!Z13*100)</f>
        <v>0.15563144071923624</v>
      </c>
      <c r="D28" s="240" t="s">
        <v>707</v>
      </c>
      <c r="F28" s="6"/>
    </row>
    <row r="29" spans="1:18">
      <c r="A29" s="234" t="s">
        <v>51</v>
      </c>
      <c r="B29" s="34">
        <f>IF(ISERROR(TER_gezond_ele_kWh/1000),0,TER_gezond_ele_kWh/1000)</f>
        <v>132.873425536794</v>
      </c>
      <c r="C29" s="40">
        <f>IF(ISERROR(B29*3.6/1000000/'E Balans VL '!Z10*100),0,B29*3.6/1000000/'E Balans VL '!Z10*100)</f>
        <v>1.6998529056724478E-2</v>
      </c>
      <c r="D29" s="240" t="s">
        <v>707</v>
      </c>
      <c r="F29" s="6"/>
    </row>
    <row r="30" spans="1:18">
      <c r="A30" s="234" t="s">
        <v>50</v>
      </c>
      <c r="B30" s="34">
        <f>IF(ISERROR(TER_ander_ele_kWh/1000),0,TER_ander_ele_kWh/1000)</f>
        <v>752.85325975368994</v>
      </c>
      <c r="C30" s="40">
        <f>IF(ISERROR(B30*3.6/1000000/'E Balans VL '!Z14*100),0,B30*3.6/1000000/'E Balans VL '!Z14*100)</f>
        <v>5.6307080177192687E-2</v>
      </c>
      <c r="D30" s="240" t="s">
        <v>707</v>
      </c>
      <c r="F30" s="6"/>
    </row>
    <row r="31" spans="1:18">
      <c r="A31" s="234" t="s">
        <v>55</v>
      </c>
      <c r="B31" s="34">
        <f>IF(ISERROR(TER_onderwijs_ele_kWh/1000),0,TER_onderwijs_ele_kWh/1000)</f>
        <v>177.04297345389901</v>
      </c>
      <c r="C31" s="40">
        <f>IF(ISERROR(B31*3.6/1000000/'E Balans VL '!Z11*100),0,B31*3.6/1000000/'E Balans VL '!Z11*100)</f>
        <v>3.7382853174059413E-2</v>
      </c>
      <c r="D31" s="240" t="s">
        <v>707</v>
      </c>
    </row>
    <row r="32" spans="1:18">
      <c r="A32" s="234" t="s">
        <v>260</v>
      </c>
      <c r="B32" s="34">
        <f>IF(ISERROR(TER_rest_ele_kWh/1000),0,TER_rest_ele_kWh/1000)</f>
        <v>1503.98808793322</v>
      </c>
      <c r="C32" s="40">
        <f>IF(ISERROR(B32*3.6/1000000/'E Balans VL '!Z8*100),0,B32*3.6/1000000/'E Balans VL '!Z8*100)</f>
        <v>1.2389751695624366E-2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7439.5504006084575</v>
      </c>
      <c r="C5" s="18">
        <f>IF(ISERROR('Eigen informatie GS &amp; warmtenet'!B59),0,'Eigen informatie GS &amp; warmtenet'!B59)</f>
        <v>0</v>
      </c>
      <c r="D5" s="31">
        <f>SUM(D6:D15)</f>
        <v>4758.0455370882792</v>
      </c>
      <c r="E5" s="18">
        <f>SUM(E6:E15)</f>
        <v>67.986176885626037</v>
      </c>
      <c r="F5" s="18">
        <f>SUM(F6:F15)</f>
        <v>2229.4004131355377</v>
      </c>
      <c r="G5" s="19"/>
      <c r="H5" s="18"/>
      <c r="I5" s="18"/>
      <c r="J5" s="18">
        <f>SUM(J6:J15)</f>
        <v>31.672752870027495</v>
      </c>
      <c r="K5" s="18"/>
      <c r="L5" s="18"/>
      <c r="M5" s="18"/>
      <c r="N5" s="18">
        <f>SUM(N6:N15)</f>
        <v>313.58119731018968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881.00917202972096</v>
      </c>
      <c r="C8" s="34"/>
      <c r="D8" s="38">
        <f>IF( ISERROR(IND_metaal_Gas_kWH/1000),0,IND_metaal_Gas_kWH/1000)*0.902</f>
        <v>0</v>
      </c>
      <c r="E8" s="34">
        <f>C30*'E Balans VL '!I18/100/3.6*1000000</f>
        <v>8.0231917609375003</v>
      </c>
      <c r="F8" s="34">
        <f>C30*'E Balans VL '!L18/100/3.6*1000000+C30*'E Balans VL '!N18/100/3.6*1000000</f>
        <v>116.19841929215487</v>
      </c>
      <c r="G8" s="35"/>
      <c r="H8" s="34"/>
      <c r="I8" s="34"/>
      <c r="J8" s="41">
        <f>C30*'E Balans VL '!D18/100/3.6*1000000+C30*'E Balans VL '!E18/100/3.6*1000000</f>
        <v>14.447271242031503</v>
      </c>
      <c r="K8" s="34"/>
      <c r="L8" s="34"/>
      <c r="M8" s="34"/>
      <c r="N8" s="34">
        <f>C30*'E Balans VL '!Y18/100/3.6*1000000</f>
        <v>3.0276785442703282</v>
      </c>
      <c r="O8" s="34"/>
      <c r="P8" s="34"/>
      <c r="R8" s="33"/>
    </row>
    <row r="9" spans="1:18">
      <c r="A9" s="6" t="s">
        <v>33</v>
      </c>
      <c r="B9" s="38">
        <f t="shared" si="0"/>
        <v>1581.28022415394</v>
      </c>
      <c r="C9" s="34"/>
      <c r="D9" s="38">
        <f>IF( ISERROR(IND_andere_gas_kWh/1000),0,IND_andere_gas_kWh/1000)*0.902</f>
        <v>1799.7132507271319</v>
      </c>
      <c r="E9" s="34">
        <f>C31*'E Balans VL '!I19/100/3.6*1000000</f>
        <v>9.1400359983939659</v>
      </c>
      <c r="F9" s="34">
        <f>C31*'E Balans VL '!L19/100/3.6*1000000+C31*'E Balans VL '!N19/100/3.6*1000000</f>
        <v>1257.9845065079248</v>
      </c>
      <c r="G9" s="35"/>
      <c r="H9" s="34"/>
      <c r="I9" s="34"/>
      <c r="J9" s="41">
        <f>C31*'E Balans VL '!D19/100/3.6*1000000+C31*'E Balans VL '!E19/100/3.6*1000000</f>
        <v>0.1495715448417223</v>
      </c>
      <c r="K9" s="34"/>
      <c r="L9" s="34"/>
      <c r="M9" s="34"/>
      <c r="N9" s="34">
        <f>C31*'E Balans VL '!Y19/100/3.6*1000000</f>
        <v>119.80590697914218</v>
      </c>
      <c r="O9" s="34"/>
      <c r="P9" s="34"/>
      <c r="R9" s="33"/>
    </row>
    <row r="10" spans="1:18">
      <c r="A10" s="6" t="s">
        <v>41</v>
      </c>
      <c r="B10" s="38">
        <f t="shared" si="0"/>
        <v>1408.80167509168</v>
      </c>
      <c r="C10" s="34"/>
      <c r="D10" s="38">
        <f>IF( ISERROR(IND_voed_gas_kWh/1000),0,IND_voed_gas_kWh/1000)*0.902</f>
        <v>958.63111848583753</v>
      </c>
      <c r="E10" s="34">
        <f>C32*'E Balans VL '!I20/100/3.6*1000000</f>
        <v>13.852206104505669</v>
      </c>
      <c r="F10" s="34">
        <f>C32*'E Balans VL '!L20/100/3.6*1000000+C32*'E Balans VL '!N20/100/3.6*1000000</f>
        <v>156.46581460621431</v>
      </c>
      <c r="G10" s="35"/>
      <c r="H10" s="34"/>
      <c r="I10" s="34"/>
      <c r="J10" s="41">
        <f>C32*'E Balans VL '!D20/100/3.6*1000000+C32*'E Balans VL '!E20/100/3.6*1000000</f>
        <v>5.5527269590131562E-3</v>
      </c>
      <c r="K10" s="34"/>
      <c r="L10" s="34"/>
      <c r="M10" s="34"/>
      <c r="N10" s="34">
        <f>C32*'E Balans VL '!Y20/100/3.6*1000000</f>
        <v>20.86103895726248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22.479094648302599</v>
      </c>
      <c r="C12" s="34"/>
      <c r="D12" s="38">
        <f>IF( ISERROR(IND_min_gas_kWh/1000),0,IND_min_gas_kWh/1000)*0.902</f>
        <v>0</v>
      </c>
      <c r="E12" s="34">
        <f>C34*'E Balans VL '!I22/100/3.6*1000000</f>
        <v>0.56988505077275275</v>
      </c>
      <c r="F12" s="34">
        <f>C34*'E Balans VL '!L22/100/3.6*1000000+C34*'E Balans VL '!N22/100/3.6*1000000</f>
        <v>6.2200438420990647</v>
      </c>
      <c r="G12" s="35"/>
      <c r="H12" s="34"/>
      <c r="I12" s="34"/>
      <c r="J12" s="41">
        <f>C34*'E Balans VL '!D22/100/3.6*1000000+C34*'E Balans VL '!E22/100/3.6*1000000</f>
        <v>0.14845645825231682</v>
      </c>
      <c r="K12" s="34"/>
      <c r="L12" s="34"/>
      <c r="M12" s="34"/>
      <c r="N12" s="34">
        <f>C34*'E Balans VL '!Y22/100/3.6*1000000</f>
        <v>0</v>
      </c>
      <c r="O12" s="34"/>
      <c r="P12" s="34"/>
      <c r="R12" s="33"/>
    </row>
    <row r="13" spans="1:18">
      <c r="A13" s="6" t="s">
        <v>39</v>
      </c>
      <c r="B13" s="38">
        <f t="shared" si="0"/>
        <v>180.96263764177399</v>
      </c>
      <c r="C13" s="34"/>
      <c r="D13" s="38">
        <f>IF( ISERROR(IND_papier_gas_kWh/1000),0,IND_papier_gas_kWh/1000)*0.902</f>
        <v>0</v>
      </c>
      <c r="E13" s="34">
        <f>C35*'E Balans VL '!I23/100/3.6*1000000</f>
        <v>6.1638498169399529</v>
      </c>
      <c r="F13" s="34">
        <f>C35*'E Balans VL '!L23/100/3.6*1000000+C35*'E Balans VL '!N23/100/3.6*1000000</f>
        <v>29.890780636736888</v>
      </c>
      <c r="G13" s="35"/>
      <c r="H13" s="34"/>
      <c r="I13" s="34"/>
      <c r="J13" s="41">
        <f>C35*'E Balans VL '!D23/100/3.6*1000000+C35*'E Balans VL '!E23/100/3.6*1000000</f>
        <v>0</v>
      </c>
      <c r="K13" s="34"/>
      <c r="L13" s="34"/>
      <c r="M13" s="34"/>
      <c r="N13" s="34">
        <f>C35*'E Balans VL '!Y23/100/3.6*1000000</f>
        <v>66.58939761043932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3365.01759704304</v>
      </c>
      <c r="C15" s="34"/>
      <c r="D15" s="38">
        <f>IF( ISERROR(IND_rest_gas_kWh/1000),0,IND_rest_gas_kWh/1000)*0.902</f>
        <v>1999.7011678753095</v>
      </c>
      <c r="E15" s="34">
        <f>C37*'E Balans VL '!I15/100/3.6*1000000</f>
        <v>30.237008154076197</v>
      </c>
      <c r="F15" s="34">
        <f>C37*'E Balans VL '!L15/100/3.6*1000000+C37*'E Balans VL '!N15/100/3.6*1000000</f>
        <v>662.64084825040766</v>
      </c>
      <c r="G15" s="35"/>
      <c r="H15" s="34"/>
      <c r="I15" s="34"/>
      <c r="J15" s="41">
        <f>C37*'E Balans VL '!D15/100/3.6*1000000+C37*'E Balans VL '!E15/100/3.6*1000000</f>
        <v>16.921900897942937</v>
      </c>
      <c r="K15" s="34"/>
      <c r="L15" s="34"/>
      <c r="M15" s="34"/>
      <c r="N15" s="34">
        <f>C37*'E Balans VL '!Y15/100/3.6*1000000</f>
        <v>103.29717521907536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7439.5504006084575</v>
      </c>
      <c r="C18" s="22">
        <f>C5+C16</f>
        <v>0</v>
      </c>
      <c r="D18" s="22">
        <f>MAX((D5+D16),0)</f>
        <v>4758.0455370882792</v>
      </c>
      <c r="E18" s="22">
        <f>MAX((E5+E16),0)</f>
        <v>67.986176885626037</v>
      </c>
      <c r="F18" s="22">
        <f>MAX((F5+F16),0)</f>
        <v>2229.4004131355377</v>
      </c>
      <c r="G18" s="22"/>
      <c r="H18" s="22"/>
      <c r="I18" s="22"/>
      <c r="J18" s="22">
        <f>MAX((J5+J16),0)</f>
        <v>31.672752870027495</v>
      </c>
      <c r="K18" s="22"/>
      <c r="L18" s="22">
        <f>MAX((L5+L16),0)</f>
        <v>0</v>
      </c>
      <c r="M18" s="22"/>
      <c r="N18" s="22">
        <f>MAX((N5+N16),0)</f>
        <v>313.58119731018968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0.21204852396437904</v>
      </c>
      <c r="C20" s="26">
        <f ca="1">'EF ele_warmte'!B22</f>
        <v>0.22364319317744924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1577.5456814076281</v>
      </c>
      <c r="C22" s="24">
        <f ca="1">C18*C20</f>
        <v>0</v>
      </c>
      <c r="D22" s="24">
        <f>D18*D20</f>
        <v>961.12519849183241</v>
      </c>
      <c r="E22" s="24">
        <f>E18*E20</f>
        <v>15.43286215303711</v>
      </c>
      <c r="F22" s="24">
        <f>F18*F20</f>
        <v>595.24991030718866</v>
      </c>
      <c r="G22" s="24"/>
      <c r="H22" s="24"/>
      <c r="I22" s="24"/>
      <c r="J22" s="24">
        <f>J18*J20</f>
        <v>11.212154515989733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881.00917202972096</v>
      </c>
      <c r="C30" s="40">
        <f>IF(ISERROR(B30*3.6/1000000/'E Balans VL '!Z18*100),0,B30*3.6/1000000/'E Balans VL '!Z18*100)</f>
        <v>4.9022269165666064E-2</v>
      </c>
      <c r="D30" s="240" t="s">
        <v>707</v>
      </c>
    </row>
    <row r="31" spans="1:18">
      <c r="A31" s="6" t="s">
        <v>33</v>
      </c>
      <c r="B31" s="38">
        <f>IF( ISERROR(IND_ander_ele_kWh/1000),0,IND_ander_ele_kWh/1000)</f>
        <v>1581.28022415394</v>
      </c>
      <c r="C31" s="40">
        <f>IF(ISERROR(B31*3.6/1000000/'E Balans VL '!Z19*100),0,B31*3.6/1000000/'E Balans VL '!Z19*100)</f>
        <v>7.3509564700368638E-2</v>
      </c>
      <c r="D31" s="240" t="s">
        <v>707</v>
      </c>
    </row>
    <row r="32" spans="1:18">
      <c r="A32" s="174" t="s">
        <v>41</v>
      </c>
      <c r="B32" s="38">
        <f>IF( ISERROR(IND_voed_ele_kWh/1000),0,IND_voed_ele_kWh/1000)</f>
        <v>1408.80167509168</v>
      </c>
      <c r="C32" s="40">
        <f>IF(ISERROR(B32*3.6/1000000/'E Balans VL '!Z20*100),0,B32*3.6/1000000/'E Balans VL '!Z20*100)</f>
        <v>4.979829401901277E-2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22.479094648302599</v>
      </c>
      <c r="C34" s="40">
        <f>IF(ISERROR(B34*3.6/1000000/'E Balans VL '!Z22*100),0,B34*3.6/1000000/'E Balans VL '!Z22*100)</f>
        <v>4.517664135255112E-3</v>
      </c>
      <c r="D34" s="240" t="s">
        <v>707</v>
      </c>
    </row>
    <row r="35" spans="1:5">
      <c r="A35" s="174" t="s">
        <v>39</v>
      </c>
      <c r="B35" s="38">
        <f>IF( ISERROR(IND_papier_ele_kWh/1000),0,IND_papier_ele_kWh/1000)</f>
        <v>180.96263764177399</v>
      </c>
      <c r="C35" s="40">
        <f>IF(ISERROR(B35*3.6/1000000/'E Balans VL '!Z22*100),0,B35*3.6/1000000/'E Balans VL '!Z22*100)</f>
        <v>3.6368387192014462E-2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3365.01759704304</v>
      </c>
      <c r="C37" s="40">
        <f>IF(ISERROR(B37*3.6/1000000/'E Balans VL '!Z15*100),0,B37*3.6/1000000/'E Balans VL '!Z15*100)</f>
        <v>2.5410853740337649E-2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2332.450017362376</v>
      </c>
      <c r="C5" s="18">
        <f>'Eigen informatie GS &amp; warmtenet'!B60</f>
        <v>0</v>
      </c>
      <c r="D5" s="31">
        <f>IF(ISERROR(SUM(LB_lb_gas_kWh,LB_rest_gas_kWh,onbekend_gas_kWh)/1000),0,SUM(LB_lb_gas_kWh,LB_rest_gas_kWh,onbekend_gas_kWh)/1000)*0.902</f>
        <v>90776.389584670265</v>
      </c>
      <c r="E5" s="18">
        <f>B17*'E Balans VL '!I25/3.6*1000000/100</f>
        <v>21.973241956329662</v>
      </c>
      <c r="F5" s="18">
        <f>B17*('E Balans VL '!L25/3.6*1000000+'E Balans VL '!N25/3.6*1000000)/100</f>
        <v>7611.5584788326514</v>
      </c>
      <c r="G5" s="19"/>
      <c r="H5" s="18"/>
      <c r="I5" s="18"/>
      <c r="J5" s="18">
        <f>('E Balans VL '!D25+'E Balans VL '!E25)/3.6*1000000*landbouw!B17/100</f>
        <v>288.53541218243112</v>
      </c>
      <c r="K5" s="18"/>
      <c r="L5" s="18">
        <f>L6*(-1)</f>
        <v>8926.875</v>
      </c>
      <c r="M5" s="18"/>
      <c r="N5" s="18">
        <f>N6*(-1)</f>
        <v>0</v>
      </c>
      <c r="O5" s="18"/>
      <c r="P5" s="18"/>
      <c r="R5" s="33"/>
    </row>
    <row r="6" spans="1:18">
      <c r="A6" s="17" t="s">
        <v>502</v>
      </c>
      <c r="B6" s="18" t="s">
        <v>211</v>
      </c>
      <c r="C6" s="18">
        <f>'lokale energieproductie'!O91+'lokale energieproductie'!O60</f>
        <v>67025.410714285725</v>
      </c>
      <c r="D6" s="312">
        <f>('lokale energieproductie'!P60+'lokale energieproductie'!P91)*(-1)</f>
        <v>-123338.57142857145</v>
      </c>
      <c r="E6" s="251"/>
      <c r="F6" s="312">
        <f>('lokale energieproductie'!S60+'lokale energieproductie'!S91)*(-1)</f>
        <v>-2975.625</v>
      </c>
      <c r="G6" s="252"/>
      <c r="H6" s="251"/>
      <c r="I6" s="251"/>
      <c r="J6" s="251"/>
      <c r="K6" s="251"/>
      <c r="L6" s="312">
        <f>('lokale energieproductie'!T60+'lokale energieproductie'!U60+'lokale energieproductie'!T91+'lokale energieproductie'!U91)*(-1)</f>
        <v>-8926.875</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2332.450017362376</v>
      </c>
      <c r="C8" s="22">
        <f>C5+C6</f>
        <v>67025.410714285725</v>
      </c>
      <c r="D8" s="22">
        <f>MAX((D5+D6),0)</f>
        <v>0</v>
      </c>
      <c r="E8" s="22">
        <f>MAX((E5+E6),0)</f>
        <v>21.973241956329662</v>
      </c>
      <c r="F8" s="22">
        <f>MAX((F5+F6),0)</f>
        <v>4635.9334788326514</v>
      </c>
      <c r="G8" s="22"/>
      <c r="H8" s="22"/>
      <c r="I8" s="22"/>
      <c r="J8" s="22">
        <f>MAX((J5+J6),0)</f>
        <v>288.53541218243112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0.21204852396437904</v>
      </c>
      <c r="C10" s="32">
        <f ca="1">'EF ele_warmte'!B22</f>
        <v>0.22364319317744924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494.5925834023821</v>
      </c>
      <c r="C12" s="24">
        <f ca="1">C8*C10</f>
        <v>14989.776876172878</v>
      </c>
      <c r="D12" s="24">
        <f>D8*D10</f>
        <v>0</v>
      </c>
      <c r="E12" s="24">
        <f>E8*E10</f>
        <v>4.9879259240868334</v>
      </c>
      <c r="F12" s="24">
        <f>F8*F10</f>
        <v>1237.7942388483179</v>
      </c>
      <c r="G12" s="24"/>
      <c r="H12" s="24"/>
      <c r="I12" s="24"/>
      <c r="J12" s="24">
        <f>J8*J10</f>
        <v>102.14153591258061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0.31577646099104068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113.80079667030535</v>
      </c>
      <c r="C26" s="250">
        <f>B26*'GWP N2O_CH4'!B5</f>
        <v>2389.8167300764121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20.746247499294135</v>
      </c>
      <c r="C27" s="250">
        <f>B27*'GWP N2O_CH4'!B5</f>
        <v>435.67119748517683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1.6392220321717961</v>
      </c>
      <c r="C28" s="250">
        <f>B28*'GWP N2O_CH4'!B4</f>
        <v>508.15882997325679</v>
      </c>
      <c r="D28" s="51"/>
    </row>
    <row r="29" spans="1:4">
      <c r="A29" s="42" t="s">
        <v>277</v>
      </c>
      <c r="B29" s="250">
        <f>B34*'ha_N2O bodem landbouw'!B4</f>
        <v>8.063463416753363</v>
      </c>
      <c r="C29" s="250">
        <f>B29*'GWP N2O_CH4'!B4</f>
        <v>2499.6736591935423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2.1768812825434074E-3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9.1925952981260804E-6</v>
      </c>
      <c r="C5" s="447" t="s">
        <v>211</v>
      </c>
      <c r="D5" s="432">
        <f>SUM(D6:D11)</f>
        <v>2.554105605120791E-5</v>
      </c>
      <c r="E5" s="432">
        <f>SUM(E6:E11)</f>
        <v>1.4797341351871632E-3</v>
      </c>
      <c r="F5" s="445" t="s">
        <v>211</v>
      </c>
      <c r="G5" s="432">
        <f>SUM(G6:G11)</f>
        <v>0.26795994006546298</v>
      </c>
      <c r="H5" s="432">
        <f>SUM(H6:H11)</f>
        <v>5.6714081084966013E-2</v>
      </c>
      <c r="I5" s="447" t="s">
        <v>211</v>
      </c>
      <c r="J5" s="447" t="s">
        <v>211</v>
      </c>
      <c r="K5" s="447" t="s">
        <v>211</v>
      </c>
      <c r="L5" s="447" t="s">
        <v>211</v>
      </c>
      <c r="M5" s="432">
        <f>SUM(M6:M11)</f>
        <v>1.4526581212474242E-2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7.5979668881402323E-6</v>
      </c>
      <c r="C6" s="433"/>
      <c r="D6" s="433">
        <f>vkm_2011_GW_PW*SUMIFS(TableVerdeelsleutelVkm[CNG],TableVerdeelsleutelVkm[Voertuigtype],"Lichte voertuigen")*SUMIFS(TableECFTransport[EnergieConsumptieFactor (PJ per km)],TableECFTransport[Index],CONCATENATE($A6,"_CNG_CNG"))</f>
        <v>1.8554362384798712E-5</v>
      </c>
      <c r="E6" s="435">
        <f>vkm_2011_GW_PW*SUMIFS(TableVerdeelsleutelVkm[LPG],TableVerdeelsleutelVkm[Voertuigtype],"Lichte voertuigen")*SUMIFS(TableECFTransport[EnergieConsumptieFactor (PJ per km)],TableECFTransport[Index],CONCATENATE($A6,"_LPG_LPG"))</f>
        <v>1.0998067158047087E-3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0.15898999831990288</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4.1666710861606657E-2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8.985776969142838E-3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5.5511922927672978E-2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2.2396896673353424E-5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2.4730389911591382E-3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1.5946284099858489E-6</v>
      </c>
      <c r="C8" s="433"/>
      <c r="D8" s="435">
        <f>vkm_2011_NGW_PW*SUMIFS(TableVerdeelsleutelVkm[CNG],TableVerdeelsleutelVkm[Voertuigtype],"Lichte voertuigen")*SUMIFS(TableECFTransport[EnergieConsumptieFactor (PJ per km)],TableECFTransport[Index],CONCATENATE($A8,"_CNG_CNG"))</f>
        <v>6.9866936664092E-6</v>
      </c>
      <c r="E8" s="435">
        <f>vkm_2011_NGW_PW*SUMIFS(TableVerdeelsleutelVkm[LPG],TableVerdeelsleutelVkm[Voertuigtype],"Lichte voertuigen")*SUMIFS(TableECFTransport[EnergieConsumptieFactor (PJ per km)],TableECFTransport[Index],CONCATENATE($A8,"_LPG_LPG"))</f>
        <v>3.799274193824545E-4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5.1884910924132499E-2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1.5024420706895613E-2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2.9976875358511141E-3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1.5731078937546252E-3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5.5261979038520063E-7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7.0077716321152364E-5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2.553498693923911</v>
      </c>
      <c r="C14" s="22"/>
      <c r="D14" s="22">
        <f t="shared" ref="D14:M14" si="0">((D5)*10^9/3600)+D12</f>
        <v>7.0947377920021975</v>
      </c>
      <c r="E14" s="22">
        <f t="shared" si="0"/>
        <v>411.03725977421203</v>
      </c>
      <c r="F14" s="22"/>
      <c r="G14" s="22">
        <f t="shared" si="0"/>
        <v>74433.316684850826</v>
      </c>
      <c r="H14" s="22">
        <f t="shared" si="0"/>
        <v>15753.911412490559</v>
      </c>
      <c r="I14" s="22"/>
      <c r="J14" s="22"/>
      <c r="K14" s="22"/>
      <c r="L14" s="22"/>
      <c r="M14" s="22">
        <f t="shared" si="0"/>
        <v>4035.1614479095115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0.21204852396437904</v>
      </c>
      <c r="C16" s="57">
        <f ca="1">'EF ele_warmte'!B22</f>
        <v>0.22364319317744924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0.54146562899153505</v>
      </c>
      <c r="C18" s="24"/>
      <c r="D18" s="24">
        <f t="shared" ref="D18:M18" si="1">D14*D16</f>
        <v>1.433137033984444</v>
      </c>
      <c r="E18" s="24">
        <f t="shared" si="1"/>
        <v>93.30545796874614</v>
      </c>
      <c r="F18" s="24"/>
      <c r="G18" s="24">
        <f t="shared" si="1"/>
        <v>19873.69555485517</v>
      </c>
      <c r="H18" s="24">
        <f t="shared" si="1"/>
        <v>3922.7239417101491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5.9233056634306648E-3</v>
      </c>
      <c r="H50" s="323">
        <f t="shared" si="2"/>
        <v>0</v>
      </c>
      <c r="I50" s="323">
        <f t="shared" si="2"/>
        <v>0</v>
      </c>
      <c r="J50" s="323">
        <f t="shared" si="2"/>
        <v>0</v>
      </c>
      <c r="K50" s="323">
        <f t="shared" si="2"/>
        <v>0</v>
      </c>
      <c r="L50" s="323">
        <f t="shared" si="2"/>
        <v>0</v>
      </c>
      <c r="M50" s="323">
        <f t="shared" si="2"/>
        <v>2.6010212278512556E-4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5.9233056634306648E-3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2.6010212278512556E-4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1645.3626842862957</v>
      </c>
      <c r="H54" s="22">
        <f t="shared" si="3"/>
        <v>0</v>
      </c>
      <c r="I54" s="22">
        <f t="shared" si="3"/>
        <v>0</v>
      </c>
      <c r="J54" s="22">
        <f t="shared" si="3"/>
        <v>0</v>
      </c>
      <c r="K54" s="22">
        <f t="shared" si="3"/>
        <v>0</v>
      </c>
      <c r="L54" s="22">
        <f t="shared" si="3"/>
        <v>0</v>
      </c>
      <c r="M54" s="22">
        <f t="shared" si="3"/>
        <v>72.250589662534878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0.21204852396437904</v>
      </c>
      <c r="C56" s="57">
        <f ca="1">'EF ele_warmte'!B22</f>
        <v>0.22364319317744924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439.31183670444096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2871.0415043437324</v>
      </c>
      <c r="C6" s="1135"/>
      <c r="D6" s="1138"/>
      <c r="E6" s="1138"/>
      <c r="F6" s="1141"/>
      <c r="G6" s="1144"/>
      <c r="H6" s="1132"/>
      <c r="I6" s="1138"/>
      <c r="J6" s="1138"/>
      <c r="K6" s="1138"/>
      <c r="L6" s="1168"/>
      <c r="M6" s="560"/>
      <c r="N6" s="1180"/>
      <c r="O6" s="1181"/>
      <c r="Q6" s="558"/>
      <c r="R6" s="1165"/>
      <c r="S6" s="1165"/>
    </row>
    <row r="7" spans="1:19" s="548" customFormat="1">
      <c r="A7" s="561" t="s">
        <v>252</v>
      </c>
      <c r="B7" s="562">
        <f>N57</f>
        <v>47929.5</v>
      </c>
      <c r="C7" s="563">
        <f>B100</f>
        <v>51424.998049701164</v>
      </c>
      <c r="D7" s="564"/>
      <c r="E7" s="564">
        <f>E100</f>
        <v>1240.6622522805912</v>
      </c>
      <c r="F7" s="565"/>
      <c r="G7" s="566"/>
      <c r="H7" s="564">
        <f>I100</f>
        <v>0</v>
      </c>
      <c r="I7" s="564">
        <f>G100+F100</f>
        <v>3721.986756841774</v>
      </c>
      <c r="J7" s="564">
        <f>H100+D100+C100</f>
        <v>0</v>
      </c>
      <c r="K7" s="564"/>
      <c r="L7" s="567"/>
      <c r="M7" s="568">
        <f>C7*$C$11+D7*$D$11+E7*$E$11+F7*$F$11+G7*$G$11+H7*$H$11+I7*$I$11+J7*$J$11</f>
        <v>10719.106427398554</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50800.541504343732</v>
      </c>
      <c r="C9" s="579">
        <f t="shared" ref="C9:L9" si="0">SUM(C7:C8)</f>
        <v>51424.998049701164</v>
      </c>
      <c r="D9" s="579">
        <f t="shared" si="0"/>
        <v>0</v>
      </c>
      <c r="E9" s="579">
        <f t="shared" si="0"/>
        <v>1240.6622522805912</v>
      </c>
      <c r="F9" s="579">
        <f t="shared" si="0"/>
        <v>0</v>
      </c>
      <c r="G9" s="579">
        <f t="shared" si="0"/>
        <v>0</v>
      </c>
      <c r="H9" s="579">
        <f t="shared" si="0"/>
        <v>0</v>
      </c>
      <c r="I9" s="579">
        <f t="shared" si="0"/>
        <v>3721.986756841774</v>
      </c>
      <c r="J9" s="579">
        <f t="shared" si="0"/>
        <v>0</v>
      </c>
      <c r="K9" s="579">
        <f t="shared" si="0"/>
        <v>0</v>
      </c>
      <c r="L9" s="579">
        <f t="shared" si="0"/>
        <v>0</v>
      </c>
      <c r="M9" s="580">
        <f>SUM(M4:M8)</f>
        <v>10719.106427398554</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67025.410714285725</v>
      </c>
      <c r="C16" s="595">
        <f>B101</f>
        <v>71913.573378870278</v>
      </c>
      <c r="D16" s="596"/>
      <c r="E16" s="596">
        <f>E101</f>
        <v>1734.9627477194085</v>
      </c>
      <c r="F16" s="597"/>
      <c r="G16" s="598"/>
      <c r="H16" s="595">
        <f>I101</f>
        <v>0</v>
      </c>
      <c r="I16" s="596">
        <f>G101+F101</f>
        <v>5204.888243158226</v>
      </c>
      <c r="J16" s="596">
        <f>H101+D101+C101</f>
        <v>0</v>
      </c>
      <c r="K16" s="596"/>
      <c r="L16" s="599"/>
      <c r="M16" s="600">
        <f>C16*$C$21+E16*$E$21+H16*$H$21+I16*$I$21+J16*$J$21+D16*$D$21+F16*$F$21+G16*$G$21+K16*$K$21+L16*$L$21</f>
        <v>14989.776876172878</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67025.410714285725</v>
      </c>
      <c r="C19" s="578">
        <f>SUM(C16:C18)</f>
        <v>71913.573378870278</v>
      </c>
      <c r="D19" s="578">
        <f t="shared" ref="D19:M19" si="1">SUM(D16:D18)</f>
        <v>0</v>
      </c>
      <c r="E19" s="578">
        <f t="shared" si="1"/>
        <v>1734.9627477194085</v>
      </c>
      <c r="F19" s="578">
        <f t="shared" si="1"/>
        <v>0</v>
      </c>
      <c r="G19" s="578">
        <f t="shared" si="1"/>
        <v>0</v>
      </c>
      <c r="H19" s="578">
        <f t="shared" si="1"/>
        <v>0</v>
      </c>
      <c r="I19" s="578">
        <f t="shared" si="1"/>
        <v>5204.888243158226</v>
      </c>
      <c r="J19" s="578">
        <f t="shared" si="1"/>
        <v>0</v>
      </c>
      <c r="K19" s="578">
        <f t="shared" si="1"/>
        <v>0</v>
      </c>
      <c r="L19" s="578">
        <f t="shared" si="1"/>
        <v>0</v>
      </c>
      <c r="M19" s="605">
        <f t="shared" si="1"/>
        <v>14989.776876172878</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12029</v>
      </c>
      <c r="C27" s="840">
        <v>2580</v>
      </c>
      <c r="D27" s="657" t="s">
        <v>877</v>
      </c>
      <c r="E27" s="656" t="s">
        <v>878</v>
      </c>
      <c r="F27" s="656" t="s">
        <v>879</v>
      </c>
      <c r="G27" s="656" t="s">
        <v>880</v>
      </c>
      <c r="H27" s="656" t="s">
        <v>881</v>
      </c>
      <c r="I27" s="656" t="s">
        <v>878</v>
      </c>
      <c r="J27" s="839">
        <v>39174</v>
      </c>
      <c r="K27" s="839">
        <v>39218</v>
      </c>
      <c r="L27" s="656" t="s">
        <v>882</v>
      </c>
      <c r="M27" s="656">
        <v>1147</v>
      </c>
      <c r="N27" s="656">
        <v>5161.5</v>
      </c>
      <c r="O27" s="656">
        <v>7373.5714285714284</v>
      </c>
      <c r="P27" s="656">
        <v>14747.142857142859</v>
      </c>
      <c r="Q27" s="656">
        <v>0</v>
      </c>
      <c r="R27" s="656">
        <v>0</v>
      </c>
      <c r="S27" s="656">
        <v>0</v>
      </c>
      <c r="T27" s="656">
        <v>0</v>
      </c>
      <c r="U27" s="656">
        <v>0</v>
      </c>
      <c r="V27" s="656">
        <v>0</v>
      </c>
      <c r="W27" s="656"/>
      <c r="X27" s="656">
        <v>10</v>
      </c>
      <c r="Y27" s="656" t="s">
        <v>112</v>
      </c>
      <c r="Z27" s="658" t="s">
        <v>112</v>
      </c>
    </row>
    <row r="28" spans="1:26" s="610" customFormat="1" ht="25.5">
      <c r="A28" s="609"/>
      <c r="B28" s="840">
        <v>12029</v>
      </c>
      <c r="C28" s="840">
        <v>2580</v>
      </c>
      <c r="D28" s="657" t="s">
        <v>883</v>
      </c>
      <c r="E28" s="656" t="s">
        <v>884</v>
      </c>
      <c r="F28" s="656" t="s">
        <v>885</v>
      </c>
      <c r="G28" s="656" t="s">
        <v>880</v>
      </c>
      <c r="H28" s="656" t="s">
        <v>881</v>
      </c>
      <c r="I28" s="656" t="s">
        <v>886</v>
      </c>
      <c r="J28" s="839">
        <v>39706</v>
      </c>
      <c r="K28" s="839">
        <v>39735</v>
      </c>
      <c r="L28" s="656" t="s">
        <v>882</v>
      </c>
      <c r="M28" s="656">
        <v>1464</v>
      </c>
      <c r="N28" s="656">
        <v>6588</v>
      </c>
      <c r="O28" s="656">
        <v>9411.4285714285725</v>
      </c>
      <c r="P28" s="656">
        <v>18822.857142857145</v>
      </c>
      <c r="Q28" s="656">
        <v>0</v>
      </c>
      <c r="R28" s="656">
        <v>0</v>
      </c>
      <c r="S28" s="656">
        <v>0</v>
      </c>
      <c r="T28" s="656">
        <v>0</v>
      </c>
      <c r="U28" s="656">
        <v>0</v>
      </c>
      <c r="V28" s="656">
        <v>0</v>
      </c>
      <c r="W28" s="656"/>
      <c r="X28" s="656">
        <v>10</v>
      </c>
      <c r="Y28" s="656" t="s">
        <v>112</v>
      </c>
      <c r="Z28" s="658" t="s">
        <v>112</v>
      </c>
    </row>
    <row r="29" spans="1:26" s="610" customFormat="1" ht="25.5">
      <c r="A29" s="609"/>
      <c r="B29" s="840">
        <v>12029</v>
      </c>
      <c r="C29" s="840">
        <v>2580</v>
      </c>
      <c r="D29" s="657" t="s">
        <v>887</v>
      </c>
      <c r="E29" s="656" t="s">
        <v>888</v>
      </c>
      <c r="F29" s="656" t="s">
        <v>889</v>
      </c>
      <c r="G29" s="656" t="s">
        <v>880</v>
      </c>
      <c r="H29" s="656" t="s">
        <v>881</v>
      </c>
      <c r="I29" s="656" t="s">
        <v>888</v>
      </c>
      <c r="J29" s="839">
        <v>39805</v>
      </c>
      <c r="K29" s="839">
        <v>39833</v>
      </c>
      <c r="L29" s="656" t="s">
        <v>882</v>
      </c>
      <c r="M29" s="656">
        <v>485</v>
      </c>
      <c r="N29" s="656">
        <v>2182.5</v>
      </c>
      <c r="O29" s="656">
        <v>3117.8571428571431</v>
      </c>
      <c r="P29" s="656">
        <v>6235.7142857142862</v>
      </c>
      <c r="Q29" s="656">
        <v>0</v>
      </c>
      <c r="R29" s="656">
        <v>0</v>
      </c>
      <c r="S29" s="656">
        <v>0</v>
      </c>
      <c r="T29" s="656">
        <v>0</v>
      </c>
      <c r="U29" s="656">
        <v>0</v>
      </c>
      <c r="V29" s="656">
        <v>0</v>
      </c>
      <c r="W29" s="656"/>
      <c r="X29" s="656">
        <v>10</v>
      </c>
      <c r="Y29" s="656" t="s">
        <v>112</v>
      </c>
      <c r="Z29" s="658" t="s">
        <v>112</v>
      </c>
    </row>
    <row r="30" spans="1:26" s="610" customFormat="1" ht="38.25">
      <c r="A30" s="609"/>
      <c r="B30" s="840">
        <v>12029</v>
      </c>
      <c r="C30" s="840">
        <v>2580</v>
      </c>
      <c r="D30" s="657" t="s">
        <v>890</v>
      </c>
      <c r="E30" s="656" t="s">
        <v>891</v>
      </c>
      <c r="F30" s="656" t="s">
        <v>892</v>
      </c>
      <c r="G30" s="656" t="s">
        <v>880</v>
      </c>
      <c r="H30" s="656" t="s">
        <v>893</v>
      </c>
      <c r="I30" s="656" t="s">
        <v>891</v>
      </c>
      <c r="J30" s="839">
        <v>40093</v>
      </c>
      <c r="K30" s="839">
        <v>40093</v>
      </c>
      <c r="L30" s="656" t="s">
        <v>882</v>
      </c>
      <c r="M30" s="656">
        <v>1058</v>
      </c>
      <c r="N30" s="656">
        <v>4761</v>
      </c>
      <c r="O30" s="656">
        <v>5356.125</v>
      </c>
      <c r="P30" s="656">
        <v>0</v>
      </c>
      <c r="Q30" s="656">
        <v>0</v>
      </c>
      <c r="R30" s="656">
        <v>0</v>
      </c>
      <c r="S30" s="656">
        <v>2975.625</v>
      </c>
      <c r="T30" s="656">
        <v>8926.875</v>
      </c>
      <c r="U30" s="656">
        <v>0</v>
      </c>
      <c r="V30" s="656">
        <v>0</v>
      </c>
      <c r="W30" s="656"/>
      <c r="X30" s="656">
        <v>10</v>
      </c>
      <c r="Y30" s="656" t="s">
        <v>112</v>
      </c>
      <c r="Z30" s="658" t="s">
        <v>112</v>
      </c>
    </row>
    <row r="31" spans="1:26" s="610" customFormat="1" ht="25.5">
      <c r="A31" s="609"/>
      <c r="B31" s="840">
        <v>12029</v>
      </c>
      <c r="C31" s="840">
        <v>2580</v>
      </c>
      <c r="D31" s="657" t="s">
        <v>894</v>
      </c>
      <c r="E31" s="656" t="s">
        <v>895</v>
      </c>
      <c r="F31" s="656" t="s">
        <v>896</v>
      </c>
      <c r="G31" s="656" t="s">
        <v>880</v>
      </c>
      <c r="H31" s="656" t="s">
        <v>881</v>
      </c>
      <c r="I31" s="656" t="s">
        <v>895</v>
      </c>
      <c r="J31" s="839">
        <v>40142</v>
      </c>
      <c r="K31" s="839">
        <v>40175</v>
      </c>
      <c r="L31" s="656" t="s">
        <v>882</v>
      </c>
      <c r="M31" s="656">
        <v>695</v>
      </c>
      <c r="N31" s="656">
        <v>3127.5</v>
      </c>
      <c r="O31" s="656">
        <v>4467.8571428571431</v>
      </c>
      <c r="P31" s="656">
        <v>8935.7142857142862</v>
      </c>
      <c r="Q31" s="656">
        <v>0</v>
      </c>
      <c r="R31" s="656">
        <v>0</v>
      </c>
      <c r="S31" s="656">
        <v>0</v>
      </c>
      <c r="T31" s="656">
        <v>0</v>
      </c>
      <c r="U31" s="656">
        <v>0</v>
      </c>
      <c r="V31" s="656">
        <v>0</v>
      </c>
      <c r="W31" s="656"/>
      <c r="X31" s="656">
        <v>10</v>
      </c>
      <c r="Y31" s="656" t="s">
        <v>112</v>
      </c>
      <c r="Z31" s="658" t="s">
        <v>112</v>
      </c>
    </row>
    <row r="32" spans="1:26" s="610" customFormat="1" ht="25.5">
      <c r="A32" s="609"/>
      <c r="B32" s="840">
        <v>12029</v>
      </c>
      <c r="C32" s="840">
        <v>2580</v>
      </c>
      <c r="D32" s="657" t="s">
        <v>897</v>
      </c>
      <c r="E32" s="656" t="s">
        <v>898</v>
      </c>
      <c r="F32" s="656" t="s">
        <v>899</v>
      </c>
      <c r="G32" s="656" t="s">
        <v>880</v>
      </c>
      <c r="H32" s="656" t="s">
        <v>881</v>
      </c>
      <c r="I32" s="656" t="s">
        <v>900</v>
      </c>
      <c r="J32" s="839">
        <v>40315</v>
      </c>
      <c r="K32" s="839">
        <v>40343</v>
      </c>
      <c r="L32" s="656" t="s">
        <v>882</v>
      </c>
      <c r="M32" s="656">
        <v>1400</v>
      </c>
      <c r="N32" s="656">
        <v>6300</v>
      </c>
      <c r="O32" s="656">
        <v>9000</v>
      </c>
      <c r="P32" s="656">
        <v>18000</v>
      </c>
      <c r="Q32" s="656">
        <v>0</v>
      </c>
      <c r="R32" s="656">
        <v>0</v>
      </c>
      <c r="S32" s="656">
        <v>0</v>
      </c>
      <c r="T32" s="656">
        <v>0</v>
      </c>
      <c r="U32" s="656">
        <v>0</v>
      </c>
      <c r="V32" s="656">
        <v>0</v>
      </c>
      <c r="W32" s="656"/>
      <c r="X32" s="656">
        <v>10</v>
      </c>
      <c r="Y32" s="656" t="s">
        <v>112</v>
      </c>
      <c r="Z32" s="658" t="s">
        <v>112</v>
      </c>
    </row>
    <row r="33" spans="1:26" s="610" customFormat="1" ht="25.5">
      <c r="A33" s="609"/>
      <c r="B33" s="840">
        <v>12029</v>
      </c>
      <c r="C33" s="840">
        <v>2580</v>
      </c>
      <c r="D33" s="657" t="s">
        <v>901</v>
      </c>
      <c r="E33" s="656" t="s">
        <v>902</v>
      </c>
      <c r="F33" s="656" t="s">
        <v>903</v>
      </c>
      <c r="G33" s="656" t="s">
        <v>880</v>
      </c>
      <c r="H33" s="656" t="s">
        <v>881</v>
      </c>
      <c r="I33" s="656" t="s">
        <v>902</v>
      </c>
      <c r="J33" s="839">
        <v>40445</v>
      </c>
      <c r="K33" s="839">
        <v>40445</v>
      </c>
      <c r="L33" s="656" t="s">
        <v>882</v>
      </c>
      <c r="M33" s="656">
        <v>800</v>
      </c>
      <c r="N33" s="656">
        <v>3600</v>
      </c>
      <c r="O33" s="656">
        <v>5142.8571428571431</v>
      </c>
      <c r="P33" s="656">
        <v>10285.714285714286</v>
      </c>
      <c r="Q33" s="656">
        <v>0</v>
      </c>
      <c r="R33" s="656">
        <v>0</v>
      </c>
      <c r="S33" s="656">
        <v>0</v>
      </c>
      <c r="T33" s="656">
        <v>0</v>
      </c>
      <c r="U33" s="656">
        <v>0</v>
      </c>
      <c r="V33" s="656">
        <v>0</v>
      </c>
      <c r="W33" s="656"/>
      <c r="X33" s="656">
        <v>10</v>
      </c>
      <c r="Y33" s="656" t="s">
        <v>112</v>
      </c>
      <c r="Z33" s="658" t="s">
        <v>112</v>
      </c>
    </row>
    <row r="34" spans="1:26" s="610" customFormat="1" ht="25.5">
      <c r="A34" s="609"/>
      <c r="B34" s="840">
        <v>12029</v>
      </c>
      <c r="C34" s="840">
        <v>2580</v>
      </c>
      <c r="D34" s="657" t="s">
        <v>904</v>
      </c>
      <c r="E34" s="656" t="s">
        <v>905</v>
      </c>
      <c r="F34" s="656" t="s">
        <v>906</v>
      </c>
      <c r="G34" s="656" t="s">
        <v>880</v>
      </c>
      <c r="H34" s="656" t="s">
        <v>881</v>
      </c>
      <c r="I34" s="656" t="s">
        <v>905</v>
      </c>
      <c r="J34" s="839">
        <v>40970</v>
      </c>
      <c r="K34" s="839">
        <v>39303</v>
      </c>
      <c r="L34" s="656" t="s">
        <v>882</v>
      </c>
      <c r="M34" s="656">
        <v>3602</v>
      </c>
      <c r="N34" s="656">
        <v>16209</v>
      </c>
      <c r="O34" s="656">
        <v>23155.714285714286</v>
      </c>
      <c r="P34" s="656">
        <v>46311.428571428572</v>
      </c>
      <c r="Q34" s="656">
        <v>0</v>
      </c>
      <c r="R34" s="656">
        <v>0</v>
      </c>
      <c r="S34" s="656">
        <v>0</v>
      </c>
      <c r="T34" s="656">
        <v>0</v>
      </c>
      <c r="U34" s="656">
        <v>0</v>
      </c>
      <c r="V34" s="656">
        <v>0</v>
      </c>
      <c r="W34" s="656"/>
      <c r="X34" s="656">
        <v>10</v>
      </c>
      <c r="Y34" s="656" t="s">
        <v>112</v>
      </c>
      <c r="Z34" s="658" t="s">
        <v>112</v>
      </c>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10651</v>
      </c>
      <c r="N57" s="614">
        <f>SUM(N27:N56)</f>
        <v>47929.5</v>
      </c>
      <c r="O57" s="614">
        <f t="shared" ref="O57:W57" si="2">SUM(O27:O56)</f>
        <v>67025.410714285725</v>
      </c>
      <c r="P57" s="614">
        <f t="shared" si="2"/>
        <v>123338.57142857145</v>
      </c>
      <c r="Q57" s="614">
        <f t="shared" si="2"/>
        <v>0</v>
      </c>
      <c r="R57" s="614">
        <f t="shared" si="2"/>
        <v>0</v>
      </c>
      <c r="S57" s="614">
        <f t="shared" si="2"/>
        <v>2975.625</v>
      </c>
      <c r="T57" s="614">
        <f t="shared" si="2"/>
        <v>8926.875</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10651</v>
      </c>
      <c r="N60" s="619">
        <f t="shared" ref="N60:W60" si="4">SUMIF($Z$27:$Z$56,"landbouw",N27:N56)</f>
        <v>47929.5</v>
      </c>
      <c r="O60" s="619">
        <f t="shared" si="4"/>
        <v>67025.410714285725</v>
      </c>
      <c r="P60" s="619">
        <f t="shared" si="4"/>
        <v>123338.57142857145</v>
      </c>
      <c r="Q60" s="619">
        <f t="shared" si="4"/>
        <v>0</v>
      </c>
      <c r="R60" s="619">
        <f t="shared" si="4"/>
        <v>0</v>
      </c>
      <c r="S60" s="619">
        <f t="shared" si="4"/>
        <v>2975.625</v>
      </c>
      <c r="T60" s="619">
        <f t="shared" si="4"/>
        <v>8926.875</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0.58305826430393903</v>
      </c>
      <c r="C97" s="639">
        <f>IF(ISERROR(N57/(O57+N57)),0,N57/(N57+O57))</f>
        <v>0.41694173569606091</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51424.998049701164</v>
      </c>
      <c r="C100" s="648">
        <f t="shared" si="9"/>
        <v>0</v>
      </c>
      <c r="D100" s="648">
        <f t="shared" si="9"/>
        <v>0</v>
      </c>
      <c r="E100" s="648">
        <f t="shared" si="9"/>
        <v>1240.6622522805912</v>
      </c>
      <c r="F100" s="648">
        <f t="shared" si="9"/>
        <v>3721.986756841774</v>
      </c>
      <c r="G100" s="648">
        <f t="shared" si="9"/>
        <v>0</v>
      </c>
      <c r="H100" s="648">
        <f t="shared" si="9"/>
        <v>0</v>
      </c>
      <c r="I100" s="649">
        <f t="shared" si="9"/>
        <v>0</v>
      </c>
      <c r="J100" s="606"/>
      <c r="K100" s="606"/>
      <c r="L100" s="644"/>
      <c r="M100" s="631"/>
      <c r="N100" s="631"/>
    </row>
    <row r="101" spans="1:14" ht="15.75" thickBot="1">
      <c r="A101" s="650" t="s">
        <v>286</v>
      </c>
      <c r="B101" s="651">
        <f>$B$97*P57</f>
        <v>71913.573378870278</v>
      </c>
      <c r="C101" s="651">
        <f t="shared" ref="C101:H101" si="10">$B$97*Q57</f>
        <v>0</v>
      </c>
      <c r="D101" s="651">
        <f t="shared" si="10"/>
        <v>0</v>
      </c>
      <c r="E101" s="651">
        <f t="shared" si="10"/>
        <v>1734.9627477194085</v>
      </c>
      <c r="F101" s="651">
        <f t="shared" si="10"/>
        <v>5204.888243158226</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2018-06-27T09:17:05Z</dcterms:modified>
</cp:coreProperties>
</file>