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L12" i="17"/>
  <c r="M48" i="14" s="1"/>
  <c r="I7" i="18"/>
  <c r="M7" s="1"/>
  <c r="M9" s="1"/>
  <c r="J78" i="14"/>
  <c r="J81" s="1"/>
  <c r="I19" i="18"/>
  <c r="E7" i="48"/>
  <c r="E24" s="1"/>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E55" l="1"/>
  <c r="F22" i="16"/>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<sst xmlns="http://schemas.openxmlformats.org/spreadsheetml/2006/main" count="2099" uniqueCount="914">
  <si>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</si>
  <si>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</si>
  <si>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</si>
  <si>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</si>
  <si>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</si>
  <si>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</si>
  <si>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</si>
  <si>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</si>
  <si>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</si>
  <si>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</si>
  <si>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</si>
  <si>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</si>
  <si>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</si>
  <si>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</si>
  <si>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</si>
  <si>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</si>
  <si>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</si>
  <si>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</si>
  <si>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</si>
  <si>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</si>
  <si>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</si>
  <si>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</si>
  <si>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</si>
  <si>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</si>
  <si>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</si>
  <si>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</si>
  <si>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</si>
  <si>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</si>
  <si>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</si>
  <si>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</si>
  <si>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</si>
  <si>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</si>
  <si>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</si>
  <si>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</si>
  <si>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</si>
  <si>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</si>
  <si>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</si>
  <si>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</si>
  <si>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</si>
  <si>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</si>
  <si>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</si>
  <si>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</si>
  <si>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</si>
  <si>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</si>
  <si>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</si>
  <si>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</si>
  <si>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</si>
  <si>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</si>
  <si>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</si>
  <si>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</si>
  <si>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</si>
  <si>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</si>
  <si>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</si>
  <si>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</si>
  <si>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</si>
  <si>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</si>
  <si>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</si>
  <si>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</si>
  <si>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</si>
  <si>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</si>
  <si>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</si>
  <si>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</si>
  <si>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</si>
  <si>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</si>
  <si>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</si>
  <si>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</si>
  <si>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</si>
  <si>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</si>
  <si>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</si>
  <si>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</si>
  <si>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</si>
  <si>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</si>
  <si>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</si>
  <si>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</si>
  <si>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</si>
  <si>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</si>
  <si>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</si>
  <si>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</si>
  <si>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</si>
  <si>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</si>
  <si>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</si>
  <si>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</si>
  <si>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</si>
  <si>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</si>
  <si>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</si>
  <si>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</si>
  <si>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</si>
  <si>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</si>
  <si>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</si>
  <si>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</si>
  <si>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</si>
  <si>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</si>
  <si>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</si>
  <si>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</si>
  <si>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</si>
  <si>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</si>
  <si>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</si>
  <si>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</si>
  <si>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</si>
  <si>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</si>
  <si>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</si>
  <si>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</si>
  <si>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</si>
  <si>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</si>
  <si>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</si>
  <si>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</si>
  <si>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</si>
  <si>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</si>
  <si>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</si>
  <si>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</si>
  <si>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</si>
  <si>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</si>
  <si>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</si>
  <si>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</si>
  <si>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</si>
  <si>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</si>
  <si>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</si>
  <si>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</si>
  <si>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</si>
  <si>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</si>
  <si>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</si>
  <si>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</si>
  <si>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</si>
  <si>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</si>
  <si>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</si>
  <si>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</si>
  <si>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</si>
  <si>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</si>
  <si>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</si>
  <si>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</si>
  <si>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</si>
  <si>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</si>
  <si>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</si>
  <si>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</si>
  <si>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</si>
  <si>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</si>
  <si>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</si>
  <si>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</si>
  <si>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</si>
  <si>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</si>
  <si>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</si>
  <si>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</si>
  <si>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</si>
  <si>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</si>
  <si>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</si>
  <si>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</si>
  <si>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</si>
  <si>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</si>
  <si>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</si>
  <si>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</si>
  <si>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</si>
  <si>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</si>
  <si>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</si>
  <si>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</si>
  <si>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</si>
  <si>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</si>
  <si>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</si>
  <si>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</si>
  <si>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</si>
  <si>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</si>
  <si>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</si>
  <si>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</si>
  <si>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</si>
  <si>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</si>
  <si>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</si>
  <si>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</si>
  <si>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</si>
  <si>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</si>
  <si>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</si>
  <si>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</si>
  <si>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</si>
  <si>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</si>
  <si>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</si>
  <si>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</si>
  <si>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</si>
  <si>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</si>
  <si>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</si>
  <si>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</si>
  <si>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</si>
  <si>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</si>
  <si>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</si>
  <si>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</si>
  <si>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</si>
  <si>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</si>
  <si>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</si>
  <si>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</si>
  <si>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</si>
  <si>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</si>
  <si>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</si>
  <si>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</si>
  <si>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</si>
  <si>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</si>
  <si>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</si>
  <si>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</si>
  <si>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</si>
  <si>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</si>
  <si>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</si>
  <si>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</si>
  <si>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</si>
  <si>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</si>
  <si>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</si>
  <si>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</si>
  <si>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</si>
  <si>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</si>
  <si>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</si>
  <si>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</si>
  <si>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</si>
  <si>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</si>
  <si>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</si>
  <si>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</si>
  <si>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</si>
  <si>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</si>
  <si>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</si>
  <si>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</si>
  <si>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</si>
  <si>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</si>
  <si>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</si>
  <si>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</si>
  <si>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</si>
  <si>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</si>
  <si>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</si>
  <si>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</si>
  <si>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</si>
  <si>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</si>
  <si>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</si>
  <si>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</si>
  <si>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</si>
  <si>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</si>
  <si>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</si>
  <si>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</si>
  <si>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</si>
  <si>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</si>
  <si>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</si>
  <si>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</si>
  <si>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</si>
  <si>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</si>
  <si>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</si>
  <si>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</si>
  <si>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</si>
  <si>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</si>
  <si>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</si>
  <si>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</si>
  <si>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</si>
  <si>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</si>
  <si>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</si>
  <si>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</si>
  <si>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</si>
  <si>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</si>
  <si>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</si>
  <si>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</si>
  <si>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</si>
  <si>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</si>
  <si>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</si>
  <si>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</si>
  <si>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</si>
  <si>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</si>
  <si>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</si>
  <si>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</si>
  <si>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</si>
  <si>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</si>
  <si>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</si>
  <si>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</si>
  <si>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</si>
  <si>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</si>
  <si>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</si>
  <si>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</si>
  <si>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</si>
  <si>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</si>
  <si>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</si>
  <si>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</si>
  <si>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</si>
  <si>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</si>
  <si>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</si>
  <si>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</si>
  <si>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</si>
  <si>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</si>
  <si>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</si>
  <si>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</si>
  <si>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</si>
  <si>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</si>
  <si>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</si>
  <si>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</si>
  <si>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</si>
  <si>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</si>
  <si>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</si>
  <si>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</si>
  <si>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</si>
  <si>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</si>
  <si>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</si>
  <si>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</si>
  <si>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</si>
  <si>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</si>
  <si>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</si>
  <si>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</si>
  <si>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</si>
  <si>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</si>
  <si>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</si>
  <si>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</si>
  <si>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</si>
  <si>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</si>
  <si>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</si>
  <si>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</si>
  <si>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</si>
  <si>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</si>
  <si>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</si>
  <si>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</si>
  <si>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</si>
  <si>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</si>
  <si>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</si>
  <si>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</si>
  <si>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</si>
  <si>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</si>
  <si>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</si>
  <si>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</si>
  <si>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</si>
  <si>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</si>
  <si>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</si>
  <si>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</si>
  <si>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</si>
  <si>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</si>
  <si>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</si>
  <si>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</si>
  <si>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</si>
  <si>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</si>
  <si>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</si>
  <si>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</si>
  <si>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</si>
  <si>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</si>
  <si>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</si>
  <si>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</si>
  <si>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</si>
  <si>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</si>
  <si>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</si>
  <si>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</si>
  <si>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</si>
  <si>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</si>
  <si>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</si>
  <si>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</si>
  <si>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</si>
  <si>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</si>
  <si>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</si>
  <si>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</si>
  <si>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</si>
  <si>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</si>
  <si>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</si>
  <si>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</si>
  <si>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</si>
  <si>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</si>
  <si>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</si>
  <si>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</si>
  <si>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</si>
  <si>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</si>
  <si>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</si>
  <si>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</si>
  <si>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</si>
  <si>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</si>
  <si>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</si>
  <si>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</si>
  <si>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</si>
  <si>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</si>
  <si>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</si>
  <si>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</si>
  <si>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</si>
  <si>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</si>
  <si>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</si>
  <si>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</si>
  <si>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</si>
  <si>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</si>
  <si>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</si>
  <si>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</si>
  <si>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</si>
  <si>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</si>
  <si>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</si>
  <si>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</si>
  <si>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</si>
  <si>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</si>
  <si>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</si>
  <si>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</si>
  <si>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</si>
  <si>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</si>
  <si>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</si>
  <si>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</si>
  <si>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</si>
  <si>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</si>
  <si>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</si>
  <si>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</si>
  <si>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</si>
  <si>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</si>
  <si>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</si>
  <si>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</si>
  <si>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</si>
  <si>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</si>
  <si>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</si>
  <si>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</si>
  <si>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</si>
  <si>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</si>
  <si>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</si>
  <si>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</si>
  <si>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</si>
  <si>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</si>
  <si>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</si>
  <si>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</si>
  <si>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</si>
  <si>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</si>
  <si>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</si>
  <si>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</si>
  <si>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</si>
  <si>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</si>
  <si>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</si>
  <si>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</si>
  <si>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</si>
  <si>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</si>
  <si>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</si>
  <si>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</si>
  <si>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</si>
  <si>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</si>
  <si>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</si>
  <si>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</si>
  <si>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</si>
  <si>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</si>
  <si>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</si>
  <si>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</si>
  <si>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</si>
  <si>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</si>
  <si>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</si>
  <si>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</si>
  <si>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</si>
  <si>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</si>
  <si>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</si>
  <si>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</si>
  <si>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</si>
  <si>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</si>
  <si>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</si>
  <si>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</si>
  <si>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</si>
  <si>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</si>
  <si>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</si>
  <si>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</si>
  <si>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</si>
  <si>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</si>
  <si>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</si>
  <si>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</si>
  <si>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</si>
  <si>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</si>
  <si>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</si>
  <si>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</si>
  <si>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</si>
  <si>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</si>
  <si>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</si>
  <si>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</si>
  <si>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</si>
  <si>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</si>
  <si>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</si>
  <si>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</si>
  <si>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</si>
  <si>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</si>
  <si>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</si>
  <si>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</si>
  <si>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</si>
  <si>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</si>
  <si>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</si>
  <si>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</si>
  <si>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</si>
  <si>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</si>
  <si>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</si>
  <si>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</si>
  <si>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</si>
  <si>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</si>
  <si>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</si>
  <si>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</si>
  <si>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</si>
  <si>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</si>
  <si>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</si>
  <si>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</si>
  <si>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</si>
  <si>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</si>
  <si>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</si>
  <si>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</si>
  <si>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</si>
  <si>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</si>
  <si>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</si>
  <si>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</si>
  <si>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</si>
  <si>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</si>
  <si>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</si>
  <si>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</si>
  <si>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</si>
  <si>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</si>
  <si>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</si>
  <si>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</si>
  <si>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</si>
  <si>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</si>
  <si>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</si>
  <si>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</si>
  <si>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</si>
  <si>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</si>
  <si>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</si>
  <si>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</si>
  <si>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</si>
  <si>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</si>
  <si>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</si>
  <si>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</si>
  <si>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</si>
  <si>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</si>
  <si>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</si>
  <si>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</si>
  <si>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</si>
  <si>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</si>
  <si>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</si>
  <si>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</si>
  <si>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</si>
  <si>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</si>
  <si>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</si>
  <si>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</si>
  <si>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</si>
  <si>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</si>
  <si>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</si>
  <si>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</si>
  <si>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</si>
  <si>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</si>
  <si>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</si>
  <si>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</si>
  <si>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</si>
  <si>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</si>
  <si>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</si>
  <si>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</si>
  <si>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</si>
  <si>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</si>
  <si>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</si>
  <si>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</si>
  <si>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</si>
  <si>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</si>
  <si>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</si>
  <si>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</si>
  <si>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</si>
  <si>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</si>
  <si>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</si>
  <si>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</si>
  <si>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</si>
  <si>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</si>
  <si>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</si>
  <si>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</si>
  <si>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</si>
  <si>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</si>
  <si>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</si>
  <si>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</si>
  <si>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</si>
  <si>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</si>
  <si>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</si>
  <si>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</si>
  <si>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</si>
  <si>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</si>
  <si>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</si>
  <si>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</si>
  <si>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</si>
  <si>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</si>
  <si>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</si>
  <si>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</si>
  <si>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</si>
  <si>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</si>
  <si>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</si>
  <si>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</si>
  <si>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</si>
  <si>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</si>
  <si>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</si>
  <si>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</si>
  <si>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</si>
  <si>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</si>
  <si>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</si>
  <si>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</si>
  <si>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</si>
  <si>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</si>
  <si>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</si>
  <si>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</si>
  <si>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</si>
  <si>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</si>
  <si>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</si>
  <si>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</si>
  <si>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</si>
  <si>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</si>
  <si>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</si>
  <si>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</si>
  <si>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</si>
  <si>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</si>
  <si>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</si>
  <si>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</si>
  <si>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</si>
  <si>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</si>
  <si>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</si>
  <si>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</si>
  <si>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</si>
  <si>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</si>
  <si>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</si>
  <si>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</si>
  <si>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</si>
  <si>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</si>
  <si>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</si>
  <si>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</si>
  <si>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</si>
  <si>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</si>
  <si>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</si>
  <si>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</si>
  <si>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</si>
  <si>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</si>
  <si>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</si>
  <si>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</si>
  <si>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</si>
  <si>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</si>
  <si>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</si>
  <si>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</si>
  <si>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</si>
  <si>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</si>
  <si>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</si>
  <si>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</si>
  <si>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</si>
  <si>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</si>
  <si>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</si>
  <si>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</si>
  <si>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</si>
  <si>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</si>
  <si>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</si>
  <si>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</si>
  <si>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</si>
  <si>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</si>
  <si>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</si>
  <si>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</si>
  <si>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</si>
  <si>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</si>
  <si>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</si>
  <si>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</si>
  <si>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</si>
  <si>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</si>
  <si>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</si>
  <si>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</si>
  <si>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</si>
  <si>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</si>
  <si>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</si>
  <si>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</si>
  <si>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</si>
  <si>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</si>
  <si>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</si>
  <si>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</si>
  <si>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</si>
  <si>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</si>
  <si>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</si>
  <si>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</si>
  <si>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</si>
  <si>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</si>
  <si>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</si>
  <si>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</si>
  <si>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</si>
  <si>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</si>
  <si>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</si>
  <si>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</si>
  <si>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</si>
  <si>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</si>
  <si>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</si>
  <si>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</si>
  <si>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</si>
  <si>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</si>
  <si>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</si>
  <si>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</si>
  <si>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</si>
  <si>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</si>
  <si>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</si>
  <si>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</si>
  <si>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</si>
  <si>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</si>
  <si>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</si>
  <si>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</si>
  <si>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</si>
  <si>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</si>
  <si>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</si>
  <si>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</si>
  <si>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</si>
  <si>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</si>
  <si>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</si>
  <si>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</si>
  <si>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</si>
  <si>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</si>
  <si>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</si>
  <si>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</si>
  <si>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</si>
  <si>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</si>
  <si>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</si>
  <si>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</si>
  <si>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</si>
  <si>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</si>
  <si>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</si>
  <si>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</si>
  <si>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</si>
  <si>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</si>
  <si>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</si>
  <si>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</si>
  <si>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</si>
  <si>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</si>
  <si>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</si>
  <si>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</si>
  <si>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</si>
  <si>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</si>
  <si>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</si>
  <si>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</si>
  <si>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</si>
  <si>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</si>
  <si>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</si>
  <si>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</si>
  <si>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</si>
  <si>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</si>
  <si>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</si>
  <si>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</si>
  <si>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</si>
  <si>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</si>
  <si>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</si>
  <si>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</si>
  <si>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</si>
  <si>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</si>
  <si>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</si>
  <si>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</si>
  <si>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</si>
  <si>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</si>
  <si>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</si>
  <si>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</si>
  <si>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</si>
  <si>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</si>
  <si>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</si>
  <si>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</si>
  <si>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</si>
  <si>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</si>
  <si>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</si>
  <si>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</si>
  <si>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</si>
  <si>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</si>
  <si>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</si>
  <si>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</si>
  <si>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</si>
  <si>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</si>
  <si>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</si>
  <si>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</si>
  <si>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</si>
  <si>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</si>
  <si>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</si>
  <si>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</si>
  <si>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</si>
  <si>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</si>
  <si>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</si>
  <si>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</si>
  <si>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</si>
  <si>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</si>
  <si>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</si>
  <si>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</si>
  <si>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</si>
  <si>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</si>
  <si>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</si>
  <si>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</si>
  <si>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</si>
  <si>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</si>
  <si>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</si>
  <si>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</si>
  <si>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</si>
  <si>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</si>
  <si>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</si>
  <si>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</si>
  <si>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</si>
  <si>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</si>
  <si>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</si>
  <si>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</si>
  <si>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</si>
  <si>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</si>
  <si>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</si>
  <si>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</si>
  <si>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</si>
  <si>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</si>
  <si>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</si>
  <si>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</si>
  <si>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</si>
  <si>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</si>
  <si>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</si>
  <si>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</si>
  <si>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</si>
  <si>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</si>
  <si>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</si>
  <si>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</si>
  <si>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</si>
  <si>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</si>
  <si>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</si>
  <si>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</si>
  <si>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</si>
  <si>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</si>
  <si>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</si>
  <si>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</si>
  <si>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</si>
  <si>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</si>
  <si>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</si>
  <si>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</si>
  <si>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</si>
  <si>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</si>
  <si>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</si>
  <si>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</si>
  <si>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</si>
  <si>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</si>
  <si>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</si>
  <si>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</si>
  <si>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</si>
  <si>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</si>
  <si>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</si>
  <si>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</si>
  <si>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</si>
  <si>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</si>
  <si>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</si>
  <si>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</si>
  <si>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</si>
  <si>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</si>
  <si>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</si>
  <si>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</si>
  <si>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</si>
  <si>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</si>
  <si>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</si>
  <si>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</si>
  <si>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</si>
  <si>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</si>
  <si>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</si>
  <si>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</si>
  <si>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</si>
  <si>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</si>
  <si>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</si>
  <si>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</si>
  <si>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</si>
  <si>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</si>
  <si>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</si>
  <si>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</si>
  <si>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</si>
  <si>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</si>
  <si>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</si>
  <si>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</si>
  <si>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</si>
  <si>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</si>
  <si>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</si>
  <si>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</si>
  <si>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</si>
  <si>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</si>
  <si>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</si>
  <si>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</si>
  <si>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</si>
  <si>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</si>
  <si>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</si>
  <si>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</si>
  <si>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</si>
  <si>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</si>
  <si>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</si>
  <si>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</si>
  <si>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</si>
  <si>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</si>
  <si>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</si>
  <si>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</si>
  <si>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</si>
  <si>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</si>
  <si>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</si>
  <si>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</si>
  <si>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</si>
  <si>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</si>
  <si>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</si>
  <si>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</si>
  <si>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</si>
  <si>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</si>
  <si>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</si>
  <si>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</si>
  <si>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</si>
  <si>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</si>
  <si>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</si>
  <si>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</si>
  <si>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</si>
  <si>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12021</t>
  </si>
  <si>
    <t>LIER</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</si>
  <si>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</si>
  <si>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</si>
  <si>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</si>
  <si>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</si>
  <si>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</si>
  <si>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</si>
  <si>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</si>
  <si>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</si>
  <si>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</si>
  <si>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</si>
  <si>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</si>
  <si>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</si>
  <si>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</si>
  <si>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</si>
  <si>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</si>
  <si>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</si>
  <si>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</si>
  <si>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</si>
  <si>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</si>
  <si>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</si>
  <si>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</si>
  <si>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</si>
  <si>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</si>
  <si>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</si>
  <si>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</si>
  <si>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</si>
  <si>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</si>
  <si>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</si>
  <si>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</si>
  <si>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</si>
  <si>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</si>
  <si>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</si>
  <si>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</si>
  <si>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</si>
  <si>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</si>
  <si>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De Becker Electrogroep</t>
  </si>
  <si>
    <t>Breker 13, 1730 Asse</t>
  </si>
  <si>
    <t>BMS-0056 Alex Baelus Palmolie</t>
  </si>
  <si>
    <t>biomassa uit land- of bosbouw</t>
  </si>
  <si>
    <t>niet WKK interne verbrandingsmotor (vloeibaar)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</si>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</sst>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12021</v>
      </c>
      <c r="B6" s="397"/>
      <c r="C6" s="398"/>
    </row>
    <row r="7" spans="1:7" s="395" customFormat="1" ht="15.75" customHeight="1">
      <c r="A7" s="399" t="str">
        <f>txtMunicipality</f>
        <v>LIER</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15034</v>
      </c>
      <c r="C9" s="338">
        <v>15752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2021</v>
      </c>
    </row>
    <row r="15" spans="1:6">
      <c r="A15" s="1205" t="s">
        <v>184</v>
      </c>
      <c r="B15" s="335">
        <v>573</v>
      </c>
    </row>
    <row r="16" spans="1:6">
      <c r="A16" s="1205" t="s">
        <v>6</v>
      </c>
      <c r="B16" s="335">
        <v>639</v>
      </c>
    </row>
    <row r="17" spans="1:6">
      <c r="A17" s="1205" t="s">
        <v>7</v>
      </c>
      <c r="B17" s="335">
        <v>349</v>
      </c>
    </row>
    <row r="18" spans="1:6">
      <c r="A18" s="1205" t="s">
        <v>8</v>
      </c>
      <c r="B18" s="335">
        <v>745</v>
      </c>
    </row>
    <row r="19" spans="1:6">
      <c r="A19" s="1205" t="s">
        <v>9</v>
      </c>
      <c r="B19" s="335">
        <v>1122</v>
      </c>
    </row>
    <row r="20" spans="1:6">
      <c r="A20" s="1205" t="s">
        <v>10</v>
      </c>
      <c r="B20" s="335">
        <v>515</v>
      </c>
    </row>
    <row r="21" spans="1:6">
      <c r="A21" s="1205" t="s">
        <v>11</v>
      </c>
      <c r="B21" s="335">
        <v>113</v>
      </c>
    </row>
    <row r="22" spans="1:6">
      <c r="A22" s="1205" t="s">
        <v>12</v>
      </c>
      <c r="B22" s="335">
        <v>350</v>
      </c>
    </row>
    <row r="23" spans="1:6">
      <c r="A23" s="1205" t="s">
        <v>13</v>
      </c>
      <c r="B23" s="335">
        <v>0</v>
      </c>
    </row>
    <row r="24" spans="1:6">
      <c r="A24" s="1205" t="s">
        <v>14</v>
      </c>
      <c r="B24" s="335">
        <v>1</v>
      </c>
    </row>
    <row r="25" spans="1:6">
      <c r="A25" s="1205" t="s">
        <v>15</v>
      </c>
      <c r="B25" s="335">
        <v>69</v>
      </c>
    </row>
    <row r="26" spans="1:6">
      <c r="A26" s="1205" t="s">
        <v>16</v>
      </c>
      <c r="B26" s="335">
        <v>242</v>
      </c>
    </row>
    <row r="27" spans="1:6">
      <c r="A27" s="1205" t="s">
        <v>17</v>
      </c>
      <c r="B27" s="335">
        <v>11</v>
      </c>
    </row>
    <row r="28" spans="1:6" s="341" customFormat="1">
      <c r="A28" s="1206" t="s">
        <v>18</v>
      </c>
      <c r="B28" s="1206">
        <v>101</v>
      </c>
    </row>
    <row r="29" spans="1:6">
      <c r="A29" s="1206" t="s">
        <v>873</v>
      </c>
      <c r="B29" s="1206">
        <v>329</v>
      </c>
      <c r="C29" s="341"/>
      <c r="D29" s="341"/>
      <c r="E29" s="341"/>
      <c r="F29" s="341"/>
    </row>
    <row r="30" spans="1:6">
      <c r="A30" s="1201" t="s">
        <v>874</v>
      </c>
      <c r="B30" s="1201">
        <v>72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14</v>
      </c>
      <c r="D36" s="335">
        <v>1306258.8093994099</v>
      </c>
      <c r="E36" s="335">
        <v>55</v>
      </c>
      <c r="F36" s="335">
        <v>813779.98195218004</v>
      </c>
    </row>
    <row r="37" spans="1:6">
      <c r="A37" s="1205" t="s">
        <v>25</v>
      </c>
      <c r="B37" s="1205" t="s">
        <v>28</v>
      </c>
      <c r="C37" s="335">
        <v>0</v>
      </c>
      <c r="D37" s="335">
        <v>0</v>
      </c>
      <c r="E37" s="335">
        <v>0</v>
      </c>
      <c r="F37" s="335">
        <v>0</v>
      </c>
    </row>
    <row r="38" spans="1:6">
      <c r="A38" s="1205" t="s">
        <v>25</v>
      </c>
      <c r="B38" s="1205" t="s">
        <v>29</v>
      </c>
      <c r="C38" s="335">
        <v>2</v>
      </c>
      <c r="D38" s="335">
        <v>36581892.923075497</v>
      </c>
      <c r="E38" s="335">
        <v>3</v>
      </c>
      <c r="F38" s="335">
        <v>141140.66871427701</v>
      </c>
    </row>
    <row r="39" spans="1:6">
      <c r="A39" s="1205" t="s">
        <v>30</v>
      </c>
      <c r="B39" s="1205" t="s">
        <v>31</v>
      </c>
      <c r="C39" s="335">
        <v>11988</v>
      </c>
      <c r="D39" s="335">
        <v>199739680.90671</v>
      </c>
      <c r="E39" s="335">
        <v>15296</v>
      </c>
      <c r="F39" s="335">
        <v>58137259.482230097</v>
      </c>
    </row>
    <row r="40" spans="1:6">
      <c r="A40" s="1205" t="s">
        <v>30</v>
      </c>
      <c r="B40" s="1205" t="s">
        <v>29</v>
      </c>
      <c r="C40" s="335">
        <v>0</v>
      </c>
      <c r="D40" s="335">
        <v>0</v>
      </c>
      <c r="E40" s="335">
        <v>0</v>
      </c>
      <c r="F40" s="335">
        <v>0</v>
      </c>
    </row>
    <row r="41" spans="1:6">
      <c r="A41" s="1205" t="s">
        <v>32</v>
      </c>
      <c r="B41" s="1205" t="s">
        <v>33</v>
      </c>
      <c r="C41" s="335">
        <v>96</v>
      </c>
      <c r="D41" s="335">
        <v>3017498.5966112101</v>
      </c>
      <c r="E41" s="335">
        <v>184</v>
      </c>
      <c r="F41" s="335">
        <v>2297026.1666920199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10</v>
      </c>
      <c r="D44" s="335">
        <v>621779.92697460798</v>
      </c>
      <c r="E44" s="335">
        <v>36</v>
      </c>
      <c r="F44" s="335">
        <v>28924582.6093559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4</v>
      </c>
      <c r="D47" s="335">
        <v>159907.81317167301</v>
      </c>
      <c r="E47" s="335">
        <v>14</v>
      </c>
      <c r="F47" s="335">
        <v>6110239.7429353204</v>
      </c>
    </row>
    <row r="48" spans="1:6">
      <c r="A48" s="1205" t="s">
        <v>32</v>
      </c>
      <c r="B48" s="1205" t="s">
        <v>29</v>
      </c>
      <c r="C48" s="335">
        <v>30</v>
      </c>
      <c r="D48" s="335">
        <v>45977164.285856798</v>
      </c>
      <c r="E48" s="335">
        <v>38</v>
      </c>
      <c r="F48" s="335">
        <v>16626391.938655499</v>
      </c>
    </row>
    <row r="49" spans="1:6">
      <c r="A49" s="1205" t="s">
        <v>32</v>
      </c>
      <c r="B49" s="1205" t="s">
        <v>40</v>
      </c>
      <c r="C49" s="335">
        <v>0</v>
      </c>
      <c r="D49" s="335">
        <v>0</v>
      </c>
      <c r="E49" s="335">
        <v>0</v>
      </c>
      <c r="F49" s="335">
        <v>0</v>
      </c>
    </row>
    <row r="50" spans="1:6">
      <c r="A50" s="1205" t="s">
        <v>32</v>
      </c>
      <c r="B50" s="1205" t="s">
        <v>41</v>
      </c>
      <c r="C50" s="335">
        <v>22</v>
      </c>
      <c r="D50" s="335">
        <v>1980226.25535714</v>
      </c>
      <c r="E50" s="335">
        <v>31</v>
      </c>
      <c r="F50" s="335">
        <v>1140117.5238625901</v>
      </c>
    </row>
    <row r="51" spans="1:6">
      <c r="A51" s="1205" t="s">
        <v>42</v>
      </c>
      <c r="B51" s="1205" t="s">
        <v>43</v>
      </c>
      <c r="C51" s="335">
        <v>27</v>
      </c>
      <c r="D51" s="335">
        <v>170413735.94567299</v>
      </c>
      <c r="E51" s="335">
        <v>116</v>
      </c>
      <c r="F51" s="335">
        <v>3408676.3462812798</v>
      </c>
    </row>
    <row r="52" spans="1:6">
      <c r="A52" s="1205" t="s">
        <v>42</v>
      </c>
      <c r="B52" s="1205" t="s">
        <v>29</v>
      </c>
      <c r="C52" s="335">
        <v>4</v>
      </c>
      <c r="D52" s="335">
        <v>138596.92221043099</v>
      </c>
      <c r="E52" s="335">
        <v>4</v>
      </c>
      <c r="F52" s="335">
        <v>66201.688684236302</v>
      </c>
    </row>
    <row r="53" spans="1:6">
      <c r="A53" s="1205" t="s">
        <v>44</v>
      </c>
      <c r="B53" s="1205" t="s">
        <v>45</v>
      </c>
      <c r="C53" s="335">
        <v>296</v>
      </c>
      <c r="D53" s="335">
        <v>8949113.5946274903</v>
      </c>
      <c r="E53" s="335">
        <v>564</v>
      </c>
      <c r="F53" s="335">
        <v>2657182.8300528298</v>
      </c>
    </row>
    <row r="54" spans="1:6">
      <c r="A54" s="1205" t="s">
        <v>46</v>
      </c>
      <c r="B54" s="1205" t="s">
        <v>47</v>
      </c>
      <c r="C54" s="335">
        <v>0</v>
      </c>
      <c r="D54" s="335">
        <v>0</v>
      </c>
      <c r="E54" s="335">
        <v>2</v>
      </c>
      <c r="F54" s="335">
        <v>2292575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111</v>
      </c>
      <c r="D57" s="335">
        <v>6085884.2391702104</v>
      </c>
      <c r="E57" s="335">
        <v>173</v>
      </c>
      <c r="F57" s="335">
        <v>6986266.5210572397</v>
      </c>
    </row>
    <row r="58" spans="1:6">
      <c r="A58" s="1205" t="s">
        <v>49</v>
      </c>
      <c r="B58" s="1205" t="s">
        <v>51</v>
      </c>
      <c r="C58" s="335">
        <v>94</v>
      </c>
      <c r="D58" s="335">
        <v>10364550.237940701</v>
      </c>
      <c r="E58" s="335">
        <v>108</v>
      </c>
      <c r="F58" s="335">
        <v>2359475.6005287701</v>
      </c>
    </row>
    <row r="59" spans="1:6">
      <c r="A59" s="1205" t="s">
        <v>49</v>
      </c>
      <c r="B59" s="1205" t="s">
        <v>52</v>
      </c>
      <c r="C59" s="335">
        <v>337</v>
      </c>
      <c r="D59" s="335">
        <v>15566495.8693274</v>
      </c>
      <c r="E59" s="335">
        <v>566</v>
      </c>
      <c r="F59" s="335">
        <v>22008426.1793736</v>
      </c>
    </row>
    <row r="60" spans="1:6">
      <c r="A60" s="1205" t="s">
        <v>49</v>
      </c>
      <c r="B60" s="1205" t="s">
        <v>53</v>
      </c>
      <c r="C60" s="335">
        <v>148</v>
      </c>
      <c r="D60" s="335">
        <v>8324726.5728606796</v>
      </c>
      <c r="E60" s="335">
        <v>188</v>
      </c>
      <c r="F60" s="335">
        <v>5700326.2383123096</v>
      </c>
    </row>
    <row r="61" spans="1:6">
      <c r="A61" s="1205" t="s">
        <v>49</v>
      </c>
      <c r="B61" s="1205" t="s">
        <v>54</v>
      </c>
      <c r="C61" s="335">
        <v>325</v>
      </c>
      <c r="D61" s="335">
        <v>19411630.2263643</v>
      </c>
      <c r="E61" s="335">
        <v>762</v>
      </c>
      <c r="F61" s="335">
        <v>10885969.057973901</v>
      </c>
    </row>
    <row r="62" spans="1:6">
      <c r="A62" s="1205" t="s">
        <v>49</v>
      </c>
      <c r="B62" s="1205" t="s">
        <v>55</v>
      </c>
      <c r="C62" s="335">
        <v>25</v>
      </c>
      <c r="D62" s="335">
        <v>5438812.9260911699</v>
      </c>
      <c r="E62" s="335">
        <v>35</v>
      </c>
      <c r="F62" s="335">
        <v>2517037.7895192201</v>
      </c>
    </row>
    <row r="63" spans="1:6">
      <c r="A63" s="1205" t="s">
        <v>49</v>
      </c>
      <c r="B63" s="1205" t="s">
        <v>29</v>
      </c>
      <c r="C63" s="335">
        <v>109</v>
      </c>
      <c r="D63" s="335">
        <v>10008183.0826046</v>
      </c>
      <c r="E63" s="335">
        <v>96</v>
      </c>
      <c r="F63" s="335">
        <v>7628027.7712506996</v>
      </c>
    </row>
    <row r="64" spans="1:6">
      <c r="A64" s="1205" t="s">
        <v>56</v>
      </c>
      <c r="B64" s="1205" t="s">
        <v>57</v>
      </c>
      <c r="C64" s="335">
        <v>0</v>
      </c>
      <c r="D64" s="335">
        <v>0</v>
      </c>
      <c r="E64" s="335">
        <v>0</v>
      </c>
      <c r="F64" s="335">
        <v>0</v>
      </c>
    </row>
    <row r="65" spans="1:6">
      <c r="A65" s="1205" t="s">
        <v>56</v>
      </c>
      <c r="B65" s="1205" t="s">
        <v>29</v>
      </c>
      <c r="C65" s="335">
        <v>3</v>
      </c>
      <c r="D65" s="335">
        <v>230168.16034568701</v>
      </c>
      <c r="E65" s="335">
        <v>3</v>
      </c>
      <c r="F65" s="335">
        <v>57817.82670926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19</v>
      </c>
      <c r="D68" s="335">
        <v>645159.21784448996</v>
      </c>
      <c r="E68" s="335">
        <v>39</v>
      </c>
      <c r="F68" s="335">
        <v>746447.98734318698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175766695</v>
      </c>
      <c r="E73" s="335">
        <v>153540986.88066113</v>
      </c>
    </row>
    <row r="74" spans="1:6">
      <c r="A74" s="1205" t="s">
        <v>64</v>
      </c>
      <c r="B74" s="1205" t="s">
        <v>772</v>
      </c>
      <c r="C74" s="1216" t="s">
        <v>766</v>
      </c>
      <c r="D74" s="335">
        <v>20076949.70022225</v>
      </c>
      <c r="E74" s="335">
        <v>18663673.341885686</v>
      </c>
    </row>
    <row r="75" spans="1:6">
      <c r="A75" s="1205" t="s">
        <v>65</v>
      </c>
      <c r="B75" s="1205" t="s">
        <v>771</v>
      </c>
      <c r="C75" s="1216" t="s">
        <v>767</v>
      </c>
      <c r="D75" s="335">
        <v>17115381</v>
      </c>
      <c r="E75" s="335">
        <v>13585865.585800745</v>
      </c>
    </row>
    <row r="76" spans="1:6">
      <c r="A76" s="1205" t="s">
        <v>65</v>
      </c>
      <c r="B76" s="1205" t="s">
        <v>772</v>
      </c>
      <c r="C76" s="1216" t="s">
        <v>768</v>
      </c>
      <c r="D76" s="335">
        <v>496271.70022225147</v>
      </c>
      <c r="E76" s="335">
        <v>398520.38017615129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1355404.5995554971</v>
      </c>
      <c r="C83" s="335">
        <v>1275898.550334669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2795.9455275740829</v>
      </c>
    </row>
    <row r="92" spans="1:6">
      <c r="A92" s="1201" t="s">
        <v>69</v>
      </c>
      <c r="B92" s="338">
        <v>4995.8002335508281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8975</v>
      </c>
    </row>
    <row r="98" spans="1:6">
      <c r="A98" s="1205" t="s">
        <v>72</v>
      </c>
      <c r="B98" s="335">
        <v>10</v>
      </c>
    </row>
    <row r="99" spans="1:6">
      <c r="A99" s="1205" t="s">
        <v>73</v>
      </c>
      <c r="B99" s="335">
        <v>93</v>
      </c>
    </row>
    <row r="100" spans="1:6">
      <c r="A100" s="1205" t="s">
        <v>74</v>
      </c>
      <c r="B100" s="335">
        <v>1324</v>
      </c>
    </row>
    <row r="101" spans="1:6">
      <c r="A101" s="1205" t="s">
        <v>75</v>
      </c>
      <c r="B101" s="335">
        <v>71</v>
      </c>
    </row>
    <row r="102" spans="1:6">
      <c r="A102" s="1205" t="s">
        <v>76</v>
      </c>
      <c r="B102" s="335">
        <v>164</v>
      </c>
    </row>
    <row r="103" spans="1:6">
      <c r="A103" s="1205" t="s">
        <v>77</v>
      </c>
      <c r="B103" s="335">
        <v>319</v>
      </c>
    </row>
    <row r="104" spans="1:6">
      <c r="A104" s="1205" t="s">
        <v>78</v>
      </c>
      <c r="B104" s="335">
        <v>2496</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27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57</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179888.60342869538</v>
      </c>
      <c r="C3" s="44" t="s">
        <v>170</v>
      </c>
      <c r="D3" s="44"/>
      <c r="E3" s="157"/>
      <c r="F3" s="44"/>
      <c r="G3" s="44"/>
      <c r="H3" s="44"/>
      <c r="I3" s="44"/>
      <c r="J3" s="44"/>
      <c r="K3" s="97"/>
    </row>
    <row r="4" spans="1:11">
      <c r="A4" s="365" t="s">
        <v>171</v>
      </c>
      <c r="B4" s="50">
        <f>IF(ISERROR('SEAP template'!B69),0,'SEAP template'!B69)</f>
        <v>82878.745761124912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12264.709425094214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0.18735977336655965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16855.1537891915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92120.78571428571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0.1829679768632029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2292.5749999999998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2292.5749999999998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0.18735977336655965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429.53633242584044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58137.259482230096</v>
      </c>
      <c r="C5" s="18">
        <f>IF(ISERROR('Eigen informatie GS &amp; warmtenet'!B57),0,'Eigen informatie GS &amp; warmtenet'!B57)</f>
        <v>0</v>
      </c>
      <c r="D5" s="31">
        <f>(SUM(HH_hh_gas_kWh,HH_rest_gas_kWh)/1000)*0.902</f>
        <v>180165.19217785244</v>
      </c>
      <c r="E5" s="18">
        <f>B46*B57</f>
        <v>4144.6393010769252</v>
      </c>
      <c r="F5" s="18">
        <f>B51*B62</f>
        <v>0</v>
      </c>
      <c r="G5" s="19"/>
      <c r="H5" s="18"/>
      <c r="I5" s="18"/>
      <c r="J5" s="18">
        <f>B50*B61+C50*C61</f>
        <v>558.55923314072811</v>
      </c>
      <c r="K5" s="18"/>
      <c r="L5" s="18"/>
      <c r="M5" s="18"/>
      <c r="N5" s="18">
        <f>B48*B59+C48*C59</f>
        <v>10275.831530162397</v>
      </c>
      <c r="O5" s="18">
        <f>B69*B70*B71</f>
        <v>131.32000000000002</v>
      </c>
      <c r="P5" s="18">
        <f>B77*B78*B79/1000-B77*B78*B79/1000/B80</f>
        <v>362.26666666666665</v>
      </c>
    </row>
    <row r="6" spans="1:16">
      <c r="A6" s="17" t="s">
        <v>639</v>
      </c>
      <c r="B6" s="831">
        <f>kWh_PV_kleiner_dan_10kW</f>
        <v>2795.9455275740829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60933.20500980418</v>
      </c>
      <c r="C8" s="22">
        <f>C5</f>
        <v>0</v>
      </c>
      <c r="D8" s="22">
        <f>D5</f>
        <v>180165.19217785244</v>
      </c>
      <c r="E8" s="22">
        <f>E5</f>
        <v>4144.6393010769252</v>
      </c>
      <c r="F8" s="22">
        <f>F5</f>
        <v>0</v>
      </c>
      <c r="G8" s="22"/>
      <c r="H8" s="22"/>
      <c r="I8" s="22"/>
      <c r="J8" s="22">
        <f>J5</f>
        <v>558.55923314072811</v>
      </c>
      <c r="K8" s="22"/>
      <c r="L8" s="22">
        <f>L5</f>
        <v>0</v>
      </c>
      <c r="M8" s="22">
        <f>M5</f>
        <v>0</v>
      </c>
      <c r="N8" s="22">
        <f>N5</f>
        <v>10275.831530162397</v>
      </c>
      <c r="O8" s="22">
        <f>O5</f>
        <v>131.32000000000002</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0.18735977336655965</v>
      </c>
      <c r="C10" s="26">
        <f ca="1">'EF ele_warmte'!B22</f>
        <v>0.1829679768632029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11416.431481135029</v>
      </c>
      <c r="C12" s="24">
        <f ca="1">C10*C8</f>
        <v>0</v>
      </c>
      <c r="D12" s="24">
        <f>D8*D10</f>
        <v>36393.368819926196</v>
      </c>
      <c r="E12" s="24">
        <f>E10*E8</f>
        <v>940.83312134446203</v>
      </c>
      <c r="F12" s="24">
        <f>F10*F8</f>
        <v>0</v>
      </c>
      <c r="G12" s="24"/>
      <c r="H12" s="24"/>
      <c r="I12" s="24"/>
      <c r="J12" s="24">
        <f>J10*J8</f>
        <v>197.72996853181775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8975</v>
      </c>
      <c r="C18" s="169" t="s">
        <v>111</v>
      </c>
      <c r="D18" s="231"/>
      <c r="E18" s="16"/>
    </row>
    <row r="19" spans="1:7">
      <c r="A19" s="174" t="s">
        <v>72</v>
      </c>
      <c r="B19" s="38">
        <f>aantalw2001_ander</f>
        <v>10</v>
      </c>
      <c r="C19" s="169" t="s">
        <v>111</v>
      </c>
      <c r="D19" s="232"/>
      <c r="E19" s="16"/>
    </row>
    <row r="20" spans="1:7">
      <c r="A20" s="174" t="s">
        <v>73</v>
      </c>
      <c r="B20" s="38">
        <f>aantalw2001_propaan</f>
        <v>93</v>
      </c>
      <c r="C20" s="170">
        <f>IF(ISERROR(B20/SUM($B$20,$B$21,$B$22)*100),0,B20/SUM($B$20,$B$21,$B$22)*100)</f>
        <v>6.25</v>
      </c>
      <c r="D20" s="232"/>
      <c r="E20" s="16"/>
    </row>
    <row r="21" spans="1:7">
      <c r="A21" s="174" t="s">
        <v>74</v>
      </c>
      <c r="B21" s="38">
        <f>aantalw2001_elektriciteit</f>
        <v>1324</v>
      </c>
      <c r="C21" s="170">
        <f>IF(ISERROR(B21/SUM($B$20,$B$21,$B$22)*100),0,B21/SUM($B$20,$B$21,$B$22)*100)</f>
        <v>88.978494623655919</v>
      </c>
      <c r="D21" s="232"/>
      <c r="E21" s="16"/>
    </row>
    <row r="22" spans="1:7">
      <c r="A22" s="174" t="s">
        <v>75</v>
      </c>
      <c r="B22" s="38">
        <f>aantalw2001_hout</f>
        <v>71</v>
      </c>
      <c r="C22" s="170">
        <f>IF(ISERROR(B22/SUM($B$20,$B$21,$B$22)*100),0,B22/SUM($B$20,$B$21,$B$22)*100)</f>
        <v>4.771505376344086</v>
      </c>
      <c r="D22" s="232"/>
      <c r="E22" s="16"/>
    </row>
    <row r="23" spans="1:7">
      <c r="A23" s="174" t="s">
        <v>76</v>
      </c>
      <c r="B23" s="38">
        <f>aantalw2001_niet_gespec</f>
        <v>164</v>
      </c>
      <c r="C23" s="169" t="s">
        <v>111</v>
      </c>
      <c r="D23" s="231"/>
      <c r="E23" s="16"/>
    </row>
    <row r="24" spans="1:7">
      <c r="A24" s="174" t="s">
        <v>77</v>
      </c>
      <c r="B24" s="38">
        <f>aantalw2001_steenkool</f>
        <v>319</v>
      </c>
      <c r="C24" s="169" t="s">
        <v>111</v>
      </c>
      <c r="D24" s="232"/>
      <c r="E24" s="16"/>
    </row>
    <row r="25" spans="1:7">
      <c r="A25" s="174" t="s">
        <v>78</v>
      </c>
      <c r="B25" s="38">
        <f>aantalw2001_stookolie</f>
        <v>2496</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15034</v>
      </c>
      <c r="C28" s="37"/>
      <c r="D28" s="231"/>
    </row>
    <row r="29" spans="1:7" s="16" customFormat="1">
      <c r="A29" s="233" t="s">
        <v>666</v>
      </c>
      <c r="B29" s="38">
        <f>SUM(HH_hh_gas_aantal,HH_rest_gas_aantal)</f>
        <v>11988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11988</v>
      </c>
      <c r="C32" s="170">
        <f>IF(ISERROR(B32/SUM($B$32,$B$34,$B$35,$B$36,$B$38,$B$39)*100),0,B32/SUM($B$32,$B$34,$B$35,$B$36,$B$38,$B$39)*100)</f>
        <v>79.840159840159842</v>
      </c>
      <c r="D32" s="236"/>
      <c r="G32" s="16"/>
    </row>
    <row r="33" spans="1:7">
      <c r="A33" s="174" t="s">
        <v>72</v>
      </c>
      <c r="B33" s="35" t="s">
        <v>111</v>
      </c>
      <c r="C33" s="170"/>
      <c r="D33" s="236"/>
      <c r="G33" s="16"/>
    </row>
    <row r="34" spans="1:7">
      <c r="A34" s="174" t="s">
        <v>73</v>
      </c>
      <c r="B34" s="34">
        <f>IF((($B$28-$B$32-$B$39-$B$77-$B$38)*C20/100)&lt;0,0,($B$28-$B$32-$B$39-$B$77-$B$38)*C20/100)</f>
        <v>188.08125000000001</v>
      </c>
      <c r="C34" s="170">
        <f>IF(ISERROR(B34/SUM($B$32,$B$34,$B$35,$B$36,$B$38,$B$39)*100),0,B34/SUM($B$32,$B$34,$B$35,$B$36,$B$38,$B$39)*100)</f>
        <v>1.2526223776223777</v>
      </c>
      <c r="D34" s="236"/>
      <c r="G34" s="16"/>
    </row>
    <row r="35" spans="1:7">
      <c r="A35" s="174" t="s">
        <v>74</v>
      </c>
      <c r="B35" s="34">
        <f>IF((($B$28-$B$32-$B$39-$B$77-$B$38)*C21/100)&lt;0,0,($B$28-$B$32-$B$39-$B$77-$B$38)*C21/100)</f>
        <v>2677.6298387096776</v>
      </c>
      <c r="C35" s="170">
        <f>IF(ISERROR(B35/SUM($B$32,$B$34,$B$35,$B$36,$B$38,$B$39)*100),0,B35/SUM($B$32,$B$34,$B$35,$B$36,$B$38,$B$39)*100)</f>
        <v>17.833032558839012</v>
      </c>
      <c r="D35" s="236"/>
      <c r="G35" s="16"/>
    </row>
    <row r="36" spans="1:7">
      <c r="A36" s="174" t="s">
        <v>75</v>
      </c>
      <c r="B36" s="34">
        <f>IF((($B$28-$B$32-$B$39-$B$77-$B$38)*C22/100)&lt;0,0,($B$28-$B$32-$B$39-$B$77-$B$38)*C22/100)</f>
        <v>143.58891129032259</v>
      </c>
      <c r="C36" s="170">
        <f>IF(ISERROR(B36/SUM($B$32,$B$34,$B$35,$B$36,$B$38,$B$39)*100),0,B36/SUM($B$32,$B$34,$B$35,$B$36,$B$38,$B$39)*100)</f>
        <v>0.95630310549665398</v>
      </c>
      <c r="D36" s="236"/>
      <c r="G36" s="16"/>
    </row>
    <row r="37" spans="1:7">
      <c r="A37" s="174" t="s">
        <v>76</v>
      </c>
      <c r="B37" s="35" t="s">
        <v>111</v>
      </c>
      <c r="C37" s="170"/>
      <c r="D37" s="176"/>
      <c r="G37" s="16"/>
    </row>
    <row r="38" spans="1:7">
      <c r="A38" s="174" t="s">
        <v>77</v>
      </c>
      <c r="B38" s="34">
        <f>IF((B24-(B29-B18)*0.1)&lt;0,0,B24-(B29-B18)*0.1)</f>
        <v>17.699999999999989</v>
      </c>
      <c r="C38" s="170">
        <f>IF(ISERROR(B38/SUM($B$32,$B$34,$B$35,$B$36,$B$38,$B$39)*100),0,B38/SUM($B$32,$B$34,$B$35,$B$36,$B$38,$B$39)*100)</f>
        <v>0.11788211788211782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11988</v>
      </c>
      <c r="C44" s="35" t="s">
        <v>111</v>
      </c>
      <c r="D44" s="177"/>
    </row>
    <row r="45" spans="1:7">
      <c r="A45" s="174" t="s">
        <v>72</v>
      </c>
      <c r="B45" s="34" t="str">
        <f t="shared" si="0"/>
        <v>-</v>
      </c>
      <c r="C45" s="35" t="s">
        <v>111</v>
      </c>
      <c r="D45" s="177"/>
    </row>
    <row r="46" spans="1:7">
      <c r="A46" s="174" t="s">
        <v>73</v>
      </c>
      <c r="B46" s="34">
        <f t="shared" si="0"/>
        <v>188.08125000000001</v>
      </c>
      <c r="C46" s="35" t="s">
        <v>111</v>
      </c>
      <c r="D46" s="177"/>
    </row>
    <row r="47" spans="1:7">
      <c r="A47" s="174" t="s">
        <v>74</v>
      </c>
      <c r="B47" s="34">
        <f t="shared" si="0"/>
        <v>2677.6298387096776</v>
      </c>
      <c r="C47" s="35" t="s">
        <v>111</v>
      </c>
      <c r="D47" s="177"/>
    </row>
    <row r="48" spans="1:7">
      <c r="A48" s="174" t="s">
        <v>75</v>
      </c>
      <c r="B48" s="34">
        <f t="shared" si="0"/>
        <v>143.58891129032259</v>
      </c>
      <c r="C48" s="34">
        <f>B48*10</f>
        <v>1435.8891129032259</v>
      </c>
      <c r="D48" s="237"/>
    </row>
    <row r="49" spans="1:6">
      <c r="A49" s="174" t="s">
        <v>76</v>
      </c>
      <c r="B49" s="34" t="str">
        <f t="shared" si="0"/>
        <v>-</v>
      </c>
      <c r="C49" s="35" t="s">
        <v>111</v>
      </c>
      <c r="D49" s="237"/>
    </row>
    <row r="50" spans="1:6">
      <c r="A50" s="174" t="s">
        <v>77</v>
      </c>
      <c r="B50" s="34">
        <f t="shared" si="0"/>
        <v>17.699999999999989</v>
      </c>
      <c r="C50" s="34">
        <f>B50*2</f>
        <v>35.399999999999977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58085.529158015743</v>
      </c>
      <c r="C5" s="18">
        <f>IF(ISERROR('Eigen informatie GS &amp; warmtenet'!B58),0,'Eigen informatie GS &amp; warmtenet'!B58)</f>
        <v>0</v>
      </c>
      <c r="D5" s="31">
        <f>SUM(D6:D12)</f>
        <v>67830.655405231882</v>
      </c>
      <c r="E5" s="18">
        <f>SUM(E6:E12)</f>
        <v>559.14290853291402</v>
      </c>
      <c r="F5" s="18">
        <f>SUM(F6:F12)</f>
        <v>12425.894592777568</v>
      </c>
      <c r="G5" s="19"/>
      <c r="H5" s="18"/>
      <c r="I5" s="18"/>
      <c r="J5" s="18">
        <f>SUM(J6:J12)</f>
        <v>0</v>
      </c>
      <c r="K5" s="18"/>
      <c r="L5" s="18"/>
      <c r="M5" s="18"/>
      <c r="N5" s="18">
        <f>SUM(N6:N12)</f>
        <v>4672.6330561207978</v>
      </c>
      <c r="O5" s="18">
        <f>B38*B39*B40</f>
        <v>0</v>
      </c>
      <c r="P5" s="18">
        <f>B46*B47*B48/1000-B46*B47*B48/1000/B49</f>
        <v>0</v>
      </c>
      <c r="R5" s="33"/>
    </row>
    <row r="6" spans="1:18">
      <c r="A6" s="33" t="s">
        <v>54</v>
      </c>
      <c r="B6" s="38">
        <f>B26</f>
        <v>10885.9690579739</v>
      </c>
      <c r="C6" s="34"/>
      <c r="D6" s="38">
        <f>IF(ISERROR(TER_kantoor_gas_kWh/1000),0,TER_kantoor_gas_kWh/1000)*0.902</f>
        <v>17509.290464180602</v>
      </c>
      <c r="E6" s="34">
        <f>$C$26*'E Balans VL '!I12/100/3.6*1000000</f>
        <v>17.866081547155957</v>
      </c>
      <c r="F6" s="34">
        <f>$C$26*('E Balans VL '!L12+'E Balans VL '!N12)/100/3.6*1000000</f>
        <v>1283.1996189923714</v>
      </c>
      <c r="G6" s="35"/>
      <c r="H6" s="34"/>
      <c r="I6" s="34"/>
      <c r="J6" s="34">
        <f>$C$26*('E Balans VL '!D12+'E Balans VL '!E12)/100/3.6*1000000</f>
        <v>0</v>
      </c>
      <c r="K6" s="34"/>
      <c r="L6" s="34"/>
      <c r="M6" s="34"/>
      <c r="N6" s="34">
        <f>$C$26*'E Balans VL '!Y12/100/3.6*1000000</f>
        <v>2.1994584988799311</v>
      </c>
      <c r="O6" s="34"/>
      <c r="P6" s="34"/>
      <c r="R6" s="33"/>
    </row>
    <row r="7" spans="1:18">
      <c r="A7" s="33" t="s">
        <v>53</v>
      </c>
      <c r="B7" s="38">
        <f t="shared" ref="B7:B12" si="0">B27</f>
        <v>5700.3262383123092</v>
      </c>
      <c r="C7" s="34"/>
      <c r="D7" s="38">
        <f>IF(ISERROR(TER_horeca_gas_kWh/1000),0,TER_horeca_gas_kWh/1000)*0.902</f>
        <v>7508.9033687203337</v>
      </c>
      <c r="E7" s="34">
        <f>$C$27*'E Balans VL '!I9/100/3.6*1000000</f>
        <v>295.80568332506459</v>
      </c>
      <c r="F7" s="34">
        <f>$C$27*('E Balans VL '!L9+'E Balans VL '!N9)/100/3.6*1000000</f>
        <v>1300.8185837600872</v>
      </c>
      <c r="G7" s="35"/>
      <c r="H7" s="34"/>
      <c r="I7" s="34"/>
      <c r="J7" s="34">
        <f>$C$27*('E Balans VL '!D9+'E Balans VL '!E9)/100/3.6*1000000</f>
        <v>0</v>
      </c>
      <c r="K7" s="34"/>
      <c r="L7" s="34"/>
      <c r="M7" s="34"/>
      <c r="N7" s="34">
        <f>$C$27*'E Balans VL '!Y9/100/3.6*1000000</f>
        <v>0.60195183847731393</v>
      </c>
      <c r="O7" s="34"/>
      <c r="P7" s="34"/>
      <c r="R7" s="33"/>
    </row>
    <row r="8" spans="1:18">
      <c r="A8" s="6" t="s">
        <v>52</v>
      </c>
      <c r="B8" s="38">
        <f t="shared" si="0"/>
        <v>22008.4261793736</v>
      </c>
      <c r="C8" s="34"/>
      <c r="D8" s="38">
        <f>IF(ISERROR(TER_handel_gas_kWh/1000),0,TER_handel_gas_kWh/1000)*0.902</f>
        <v>14040.979274133315</v>
      </c>
      <c r="E8" s="34">
        <f>$C$28*'E Balans VL '!I13/100/3.6*1000000</f>
        <v>118.51807945205034</v>
      </c>
      <c r="F8" s="34">
        <f>$C$28*('E Balans VL '!L13+'E Balans VL '!N13)/100/3.6*1000000</f>
        <v>4488.172129493827</v>
      </c>
      <c r="G8" s="35"/>
      <c r="H8" s="34"/>
      <c r="I8" s="34"/>
      <c r="J8" s="34">
        <f>$C$28*('E Balans VL '!D13+'E Balans VL '!E13)/100/3.6*1000000</f>
        <v>0</v>
      </c>
      <c r="K8" s="34"/>
      <c r="L8" s="34"/>
      <c r="M8" s="34"/>
      <c r="N8" s="34">
        <f>$C$28*'E Balans VL '!Y13/100/3.6*1000000</f>
        <v>109.43628107314572</v>
      </c>
      <c r="O8" s="34"/>
      <c r="P8" s="34"/>
      <c r="R8" s="33"/>
    </row>
    <row r="9" spans="1:18">
      <c r="A9" s="33" t="s">
        <v>51</v>
      </c>
      <c r="B9" s="38">
        <f t="shared" si="0"/>
        <v>2359.47560052877</v>
      </c>
      <c r="C9" s="34"/>
      <c r="D9" s="38">
        <f>IF(ISERROR(TER_gezond_gas_kWh/1000),0,TER_gezond_gas_kWh/1000)*0.902</f>
        <v>9348.8243146225122</v>
      </c>
      <c r="E9" s="34">
        <f>$C$29*'E Balans VL '!I10/100/3.6*1000000</f>
        <v>2.338267151969494</v>
      </c>
      <c r="F9" s="34">
        <f>$C$29*('E Balans VL '!L10+'E Balans VL '!N10)/100/3.6*1000000</f>
        <v>818.6700241084302</v>
      </c>
      <c r="G9" s="35"/>
      <c r="H9" s="34"/>
      <c r="I9" s="34"/>
      <c r="J9" s="34">
        <f>$C$29*('E Balans VL '!D10+'E Balans VL '!E10)/100/3.6*1000000</f>
        <v>0</v>
      </c>
      <c r="K9" s="34"/>
      <c r="L9" s="34"/>
      <c r="M9" s="34"/>
      <c r="N9" s="34">
        <f>$C$29*'E Balans VL '!Y10/100/3.6*1000000</f>
        <v>20.331396849365099</v>
      </c>
      <c r="O9" s="34"/>
      <c r="P9" s="34"/>
      <c r="R9" s="33"/>
    </row>
    <row r="10" spans="1:18">
      <c r="A10" s="33" t="s">
        <v>50</v>
      </c>
      <c r="B10" s="38">
        <f t="shared" si="0"/>
        <v>6986.2665210572395</v>
      </c>
      <c r="C10" s="34"/>
      <c r="D10" s="38">
        <f>IF(ISERROR(TER_ander_gas_kWh/1000),0,TER_ander_gas_kWh/1000)*0.902</f>
        <v>5489.4675837315299</v>
      </c>
      <c r="E10" s="34">
        <f>$C$30*'E Balans VL '!I14/100/3.6*1000000</f>
        <v>57.154642418373399</v>
      </c>
      <c r="F10" s="34">
        <f>$C$30*('E Balans VL '!L14+'E Balans VL '!N14)/100/3.6*1000000</f>
        <v>2042.4999080672721</v>
      </c>
      <c r="G10" s="35"/>
      <c r="H10" s="34"/>
      <c r="I10" s="34"/>
      <c r="J10" s="34">
        <f>$C$30*('E Balans VL '!D14+'E Balans VL '!E14)/100/3.6*1000000</f>
        <v>0</v>
      </c>
      <c r="K10" s="34"/>
      <c r="L10" s="34"/>
      <c r="M10" s="34"/>
      <c r="N10" s="34">
        <f>$C$30*'E Balans VL '!Y14/100/3.6*1000000</f>
        <v>4030.1591070284799</v>
      </c>
      <c r="O10" s="34"/>
      <c r="P10" s="34"/>
      <c r="R10" s="33"/>
    </row>
    <row r="11" spans="1:18">
      <c r="A11" s="33" t="s">
        <v>55</v>
      </c>
      <c r="B11" s="38">
        <f t="shared" si="0"/>
        <v>2517.03778951922</v>
      </c>
      <c r="C11" s="34"/>
      <c r="D11" s="38">
        <f>IF(ISERROR(TER_onderwijs_gas_kWh/1000),0,TER_onderwijs_gas_kWh/1000)*0.902</f>
        <v>4905.8092593342353</v>
      </c>
      <c r="E11" s="34">
        <f>$C$31*'E Balans VL '!I11/100/3.6*1000000</f>
        <v>1.5513958890911448</v>
      </c>
      <c r="F11" s="34">
        <f>$C$31*('E Balans VL '!L11+'E Balans VL '!N11)/100/3.6*1000000</f>
        <v>973.12757202278465</v>
      </c>
      <c r="G11" s="35"/>
      <c r="H11" s="34"/>
      <c r="I11" s="34"/>
      <c r="J11" s="34">
        <f>$C$31*('E Balans VL '!D11+'E Balans VL '!E11)/100/3.6*1000000</f>
        <v>0</v>
      </c>
      <c r="K11" s="34"/>
      <c r="L11" s="34"/>
      <c r="M11" s="34"/>
      <c r="N11" s="34">
        <f>$C$31*'E Balans VL '!Y11/100/3.6*1000000</f>
        <v>8.1873845396244764</v>
      </c>
      <c r="O11" s="34"/>
      <c r="P11" s="34"/>
      <c r="R11" s="33"/>
    </row>
    <row r="12" spans="1:18">
      <c r="A12" s="33" t="s">
        <v>260</v>
      </c>
      <c r="B12" s="38">
        <f t="shared" si="0"/>
        <v>7628.0277712506995</v>
      </c>
      <c r="C12" s="34"/>
      <c r="D12" s="38">
        <f>IF(ISERROR(TER_rest_gas_kWh/1000),0,TER_rest_gas_kWh/1000)*0.902</f>
        <v>9027.3811405093493</v>
      </c>
      <c r="E12" s="34">
        <f>$C$32*'E Balans VL '!I8/100/3.6*1000000</f>
        <v>65.908758749209042</v>
      </c>
      <c r="F12" s="34">
        <f>$C$32*('E Balans VL '!L8+'E Balans VL '!N8)/100/3.6*1000000</f>
        <v>1519.4067563327951</v>
      </c>
      <c r="G12" s="35"/>
      <c r="H12" s="34"/>
      <c r="I12" s="34"/>
      <c r="J12" s="34">
        <f>$C$32*('E Balans VL '!D8+'E Balans VL '!E8)/100/3.6*1000000</f>
        <v>0</v>
      </c>
      <c r="K12" s="34"/>
      <c r="L12" s="34"/>
      <c r="M12" s="34"/>
      <c r="N12" s="34">
        <f>$C$32*'E Balans VL '!Y8/100/3.6*1000000</f>
        <v>501.7174762928251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58085.529158015743</v>
      </c>
      <c r="C16" s="22">
        <f t="shared" ca="1" si="1"/>
        <v>0</v>
      </c>
      <c r="D16" s="22">
        <f t="shared" ca="1" si="1"/>
        <v>67830.655405231882</v>
      </c>
      <c r="E16" s="22">
        <f t="shared" si="1"/>
        <v>559.14290853291402</v>
      </c>
      <c r="F16" s="22">
        <f t="shared" ca="1" si="1"/>
        <v>12425.894592777568</v>
      </c>
      <c r="G16" s="22">
        <f t="shared" si="1"/>
        <v>0</v>
      </c>
      <c r="H16" s="22">
        <f t="shared" si="1"/>
        <v>0</v>
      </c>
      <c r="I16" s="22">
        <f t="shared" si="1"/>
        <v>0</v>
      </c>
      <c r="J16" s="22">
        <f t="shared" si="1"/>
        <v>0</v>
      </c>
      <c r="K16" s="22">
        <f t="shared" si="1"/>
        <v>0</v>
      </c>
      <c r="L16" s="22">
        <f t="shared" ca="1" si="1"/>
        <v>0</v>
      </c>
      <c r="M16" s="22">
        <f t="shared" si="1"/>
        <v>0</v>
      </c>
      <c r="N16" s="22">
        <f t="shared" ca="1" si="1"/>
        <v>4672.6330561207978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0.18735977336655965</v>
      </c>
      <c r="C18" s="26">
        <f ca="1">'EF ele_warmte'!B22</f>
        <v>0.1829679768632029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10882.891578922521</v>
      </c>
      <c r="C20" s="24">
        <f t="shared" ref="C20:P20" ca="1" si="2">C16*C18</f>
        <v>0</v>
      </c>
      <c r="D20" s="24">
        <f t="shared" ca="1" si="2"/>
        <v>13701.792391856841</v>
      </c>
      <c r="E20" s="24">
        <f t="shared" si="2"/>
        <v>126.92544023697148</v>
      </c>
      <c r="F20" s="24">
        <f t="shared" ca="1" si="2"/>
        <v>3317.7138562716109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10885.9690579739</v>
      </c>
      <c r="C26" s="40">
        <f>IF(ISERROR(B26*3.6/1000000/'E Balans VL '!Z12*100),0,B26*3.6/1000000/'E Balans VL '!Z12*100)</f>
        <v>0.23131903581559315</v>
      </c>
      <c r="D26" s="240" t="s">
        <v>707</v>
      </c>
      <c r="F26" s="6"/>
    </row>
    <row r="27" spans="1:18">
      <c r="A27" s="234" t="s">
        <v>53</v>
      </c>
      <c r="B27" s="34">
        <f>IF(ISERROR(TER_horeca_ele_kWh/1000),0,TER_horeca_ele_kWh/1000)</f>
        <v>5700.3262383123092</v>
      </c>
      <c r="C27" s="40">
        <f>IF(ISERROR(B27*3.6/1000000/'E Balans VL '!Z9*100),0,B27*3.6/1000000/'E Balans VL '!Z9*100)</f>
        <v>0.44865975538681779</v>
      </c>
      <c r="D27" s="240" t="s">
        <v>707</v>
      </c>
      <c r="F27" s="6"/>
    </row>
    <row r="28" spans="1:18">
      <c r="A28" s="174" t="s">
        <v>52</v>
      </c>
      <c r="B28" s="34">
        <f>IF(ISERROR(TER_handel_ele_kWh/1000),0,TER_handel_ele_kWh/1000)</f>
        <v>22008.4261793736</v>
      </c>
      <c r="C28" s="40">
        <f>IF(ISERROR(B28*3.6/1000000/'E Balans VL '!Z13*100),0,B28*3.6/1000000/'E Balans VL '!Z13*100)</f>
        <v>0.61646779572893617</v>
      </c>
      <c r="D28" s="240" t="s">
        <v>707</v>
      </c>
      <c r="F28" s="6"/>
    </row>
    <row r="29" spans="1:18">
      <c r="A29" s="234" t="s">
        <v>51</v>
      </c>
      <c r="B29" s="34">
        <f>IF(ISERROR(TER_gezond_ele_kWh/1000),0,TER_gezond_ele_kWh/1000)</f>
        <v>2359.47560052877</v>
      </c>
      <c r="C29" s="40">
        <f>IF(ISERROR(B29*3.6/1000000/'E Balans VL '!Z10*100),0,B29*3.6/1000000/'E Balans VL '!Z10*100)</f>
        <v>0.30184827697630578</v>
      </c>
      <c r="D29" s="240" t="s">
        <v>707</v>
      </c>
      <c r="F29" s="6"/>
    </row>
    <row r="30" spans="1:18">
      <c r="A30" s="234" t="s">
        <v>50</v>
      </c>
      <c r="B30" s="34">
        <f>IF(ISERROR(TER_ander_ele_kWh/1000),0,TER_ander_ele_kWh/1000)</f>
        <v>6986.2665210572395</v>
      </c>
      <c r="C30" s="40">
        <f>IF(ISERROR(B30*3.6/1000000/'E Balans VL '!Z14*100),0,B30*3.6/1000000/'E Balans VL '!Z14*100)</f>
        <v>0.52251386846502779</v>
      </c>
      <c r="D30" s="240" t="s">
        <v>707</v>
      </c>
      <c r="F30" s="6"/>
    </row>
    <row r="31" spans="1:18">
      <c r="A31" s="234" t="s">
        <v>55</v>
      </c>
      <c r="B31" s="34">
        <f>IF(ISERROR(TER_onderwijs_ele_kWh/1000),0,TER_onderwijs_ele_kWh/1000)</f>
        <v>2517.03778951922</v>
      </c>
      <c r="C31" s="40">
        <f>IF(ISERROR(B31*3.6/1000000/'E Balans VL '!Z11*100),0,B31*3.6/1000000/'E Balans VL '!Z11*100)</f>
        <v>0.53147578965429909</v>
      </c>
      <c r="D31" s="240" t="s">
        <v>707</v>
      </c>
    </row>
    <row r="32" spans="1:18">
      <c r="A32" s="234" t="s">
        <v>260</v>
      </c>
      <c r="B32" s="34">
        <f>IF(ISERROR(TER_rest_ele_kWh/1000),0,TER_rest_ele_kWh/1000)</f>
        <v>7628.0277712506995</v>
      </c>
      <c r="C32" s="40">
        <f>IF(ISERROR(B32*3.6/1000000/'E Balans VL '!Z8*100),0,B32*3.6/1000000/'E Balans VL '!Z8*100)</f>
        <v>6.2839174572850404E-2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55098.357981501329</v>
      </c>
      <c r="C5" s="18">
        <f>IF(ISERROR('Eigen informatie GS &amp; warmtenet'!B59),0,'Eigen informatie GS &amp; warmtenet'!B59)</f>
        <v>0</v>
      </c>
      <c r="D5" s="31">
        <f>SUM(D6:D15)</f>
        <v>46684.432343930239</v>
      </c>
      <c r="E5" s="18">
        <f>SUM(E6:E15)</f>
        <v>645.42169816452861</v>
      </c>
      <c r="F5" s="18">
        <f>SUM(F6:F15)</f>
        <v>10052.297689405226</v>
      </c>
      <c r="G5" s="19"/>
      <c r="H5" s="18"/>
      <c r="I5" s="18"/>
      <c r="J5" s="18">
        <f>SUM(J6:J15)</f>
        <v>558.15323238478379</v>
      </c>
      <c r="K5" s="18"/>
      <c r="L5" s="18"/>
      <c r="M5" s="18"/>
      <c r="N5" s="18">
        <f>SUM(N6:N15)</f>
        <v>3049.1100449825158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28924.582609355901</v>
      </c>
      <c r="C8" s="34"/>
      <c r="D8" s="38">
        <f>IF( ISERROR(IND_metaal_Gas_kWH/1000),0,IND_metaal_Gas_kWH/1000)*0.902</f>
        <v>560.84549413109642</v>
      </c>
      <c r="E8" s="34">
        <f>C30*'E Balans VL '!I18/100/3.6*1000000</f>
        <v>263.41096125627121</v>
      </c>
      <c r="F8" s="34">
        <f>C30*'E Balans VL '!L18/100/3.6*1000000+C30*'E Balans VL '!N18/100/3.6*1000000</f>
        <v>3814.9327891209796</v>
      </c>
      <c r="G8" s="35"/>
      <c r="H8" s="34"/>
      <c r="I8" s="34"/>
      <c r="J8" s="41">
        <f>C30*'E Balans VL '!D18/100/3.6*1000000+C30*'E Balans VL '!E18/100/3.6*1000000</f>
        <v>474.32115781175401</v>
      </c>
      <c r="K8" s="34"/>
      <c r="L8" s="34"/>
      <c r="M8" s="34"/>
      <c r="N8" s="34">
        <f>C30*'E Balans VL '!Y18/100/3.6*1000000</f>
        <v>99.402300167389413</v>
      </c>
      <c r="O8" s="34"/>
      <c r="P8" s="34"/>
      <c r="R8" s="33"/>
    </row>
    <row r="9" spans="1:18">
      <c r="A9" s="6" t="s">
        <v>33</v>
      </c>
      <c r="B9" s="38">
        <f t="shared" si="0"/>
        <v>2297.0261666920201</v>
      </c>
      <c r="C9" s="34"/>
      <c r="D9" s="38">
        <f>IF( ISERROR(IND_andere_gas_kWh/1000),0,IND_andere_gas_kWh/1000)*0.902</f>
        <v>2721.7837341433119</v>
      </c>
      <c r="E9" s="34">
        <f>C31*'E Balans VL '!I19/100/3.6*1000000</f>
        <v>13.277154505648248</v>
      </c>
      <c r="F9" s="34">
        <f>C31*'E Balans VL '!L19/100/3.6*1000000+C31*'E Balans VL '!N19/100/3.6*1000000</f>
        <v>1827.3948441288685</v>
      </c>
      <c r="G9" s="35"/>
      <c r="H9" s="34"/>
      <c r="I9" s="34"/>
      <c r="J9" s="41">
        <f>C31*'E Balans VL '!D19/100/3.6*1000000+C31*'E Balans VL '!E19/100/3.6*1000000</f>
        <v>0.2172731607250771</v>
      </c>
      <c r="K9" s="34"/>
      <c r="L9" s="34"/>
      <c r="M9" s="34"/>
      <c r="N9" s="34">
        <f>C31*'E Balans VL '!Y19/100/3.6*1000000</f>
        <v>174.03449372966347</v>
      </c>
      <c r="O9" s="34"/>
      <c r="P9" s="34"/>
      <c r="R9" s="33"/>
    </row>
    <row r="10" spans="1:18">
      <c r="A10" s="6" t="s">
        <v>41</v>
      </c>
      <c r="B10" s="38">
        <f t="shared" si="0"/>
        <v>1140.1175238625901</v>
      </c>
      <c r="C10" s="34"/>
      <c r="D10" s="38">
        <f>IF( ISERROR(IND_voed_gas_kWh/1000),0,IND_voed_gas_kWh/1000)*0.902</f>
        <v>1786.1640823321402</v>
      </c>
      <c r="E10" s="34">
        <f>C32*'E Balans VL '!I20/100/3.6*1000000</f>
        <v>11.210337979528235</v>
      </c>
      <c r="F10" s="34">
        <f>C32*'E Balans VL '!L20/100/3.6*1000000+C32*'E Balans VL '!N20/100/3.6*1000000</f>
        <v>126.62493257354423</v>
      </c>
      <c r="G10" s="35"/>
      <c r="H10" s="34"/>
      <c r="I10" s="34"/>
      <c r="J10" s="41">
        <f>C32*'E Balans VL '!D20/100/3.6*1000000+C32*'E Balans VL '!E20/100/3.6*1000000</f>
        <v>4.4937207437541872E-3</v>
      </c>
      <c r="K10" s="34"/>
      <c r="L10" s="34"/>
      <c r="M10" s="34"/>
      <c r="N10" s="34">
        <f>C32*'E Balans VL '!Y20/100/3.6*1000000</f>
        <v>16.882458689302272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6110.2397429353205</v>
      </c>
      <c r="C13" s="34"/>
      <c r="D13" s="38">
        <f>IF( ISERROR(IND_papier_gas_kWh/1000),0,IND_papier_gas_kWh/1000)*0.902</f>
        <v>144.23684748084906</v>
      </c>
      <c r="E13" s="34">
        <f>C35*'E Balans VL '!I23/100/3.6*1000000</f>
        <v>208.12362491922997</v>
      </c>
      <c r="F13" s="34">
        <f>C35*'E Balans VL '!L23/100/3.6*1000000+C35*'E Balans VL '!N23/100/3.6*1000000</f>
        <v>1009.268201293006</v>
      </c>
      <c r="G13" s="35"/>
      <c r="H13" s="34"/>
      <c r="I13" s="34"/>
      <c r="J13" s="41">
        <f>C35*'E Balans VL '!D23/100/3.6*1000000+C35*'E Balans VL '!E23/100/3.6*1000000</f>
        <v>0</v>
      </c>
      <c r="K13" s="34"/>
      <c r="L13" s="34"/>
      <c r="M13" s="34"/>
      <c r="N13" s="34">
        <f>C35*'E Balans VL '!Y23/100/3.6*1000000</f>
        <v>2248.4043614730322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16626.391938655499</v>
      </c>
      <c r="C15" s="34"/>
      <c r="D15" s="38">
        <f>IF( ISERROR(IND_rest_gas_kWh/1000),0,IND_rest_gas_kWh/1000)*0.902</f>
        <v>41471.402185842839</v>
      </c>
      <c r="E15" s="34">
        <f>C37*'E Balans VL '!I15/100/3.6*1000000</f>
        <v>149.39961950385097</v>
      </c>
      <c r="F15" s="34">
        <f>C37*'E Balans VL '!L15/100/3.6*1000000+C37*'E Balans VL '!N15/100/3.6*1000000</f>
        <v>3274.0769222888271</v>
      </c>
      <c r="G15" s="35"/>
      <c r="H15" s="34"/>
      <c r="I15" s="34"/>
      <c r="J15" s="41">
        <f>C37*'E Balans VL '!D15/100/3.6*1000000+C37*'E Balans VL '!E15/100/3.6*1000000</f>
        <v>83.610307691560962</v>
      </c>
      <c r="K15" s="34"/>
      <c r="L15" s="34"/>
      <c r="M15" s="34"/>
      <c r="N15" s="34">
        <f>C37*'E Balans VL '!Y15/100/3.6*1000000</f>
        <v>510.38643092312839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55098.357981501329</v>
      </c>
      <c r="C18" s="22">
        <f>C5+C16</f>
        <v>0</v>
      </c>
      <c r="D18" s="22">
        <f>MAX((D5+D16),0)</f>
        <v>46684.432343930239</v>
      </c>
      <c r="E18" s="22">
        <f>MAX((E5+E16),0)</f>
        <v>645.42169816452861</v>
      </c>
      <c r="F18" s="22">
        <f>MAX((F5+F16),0)</f>
        <v>10052.297689405226</v>
      </c>
      <c r="G18" s="22"/>
      <c r="H18" s="22"/>
      <c r="I18" s="22"/>
      <c r="J18" s="22">
        <f>MAX((J5+J16),0)</f>
        <v>558.15323238478379</v>
      </c>
      <c r="K18" s="22"/>
      <c r="L18" s="22">
        <f>MAX((L5+L16),0)</f>
        <v>0</v>
      </c>
      <c r="M18" s="22"/>
      <c r="N18" s="22">
        <f>MAX((N5+N16),0)</f>
        <v>3049.1100449825158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0.18735977336655965</v>
      </c>
      <c r="C20" s="26">
        <f ca="1">'EF ele_warmte'!B22</f>
        <v>0.1829679768632029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10323.215864283662</v>
      </c>
      <c r="C22" s="24">
        <f ca="1">C18*C20</f>
        <v>0</v>
      </c>
      <c r="D22" s="24">
        <f>D18*D20</f>
        <v>9430.2553334739096</v>
      </c>
      <c r="E22" s="24">
        <f>E18*E20</f>
        <v>146.51072548334801</v>
      </c>
      <c r="F22" s="24">
        <f>F18*F20</f>
        <v>2683.9634830711957</v>
      </c>
      <c r="G22" s="24"/>
      <c r="H22" s="24"/>
      <c r="I22" s="24"/>
      <c r="J22" s="24">
        <f>J18*J20</f>
        <v>197.58624426421346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28924.582609355901</v>
      </c>
      <c r="C30" s="40">
        <f>IF(ISERROR(B30*3.6/1000000/'E Balans VL '!Z18*100),0,B30*3.6/1000000/'E Balans VL '!Z18*100)</f>
        <v>1.6094596051862149</v>
      </c>
      <c r="D30" s="240" t="s">
        <v>707</v>
      </c>
    </row>
    <row r="31" spans="1:18">
      <c r="A31" s="6" t="s">
        <v>33</v>
      </c>
      <c r="B31" s="38">
        <f>IF( ISERROR(IND_ander_ele_kWh/1000),0,IND_ander_ele_kWh/1000)</f>
        <v>2297.0261666920201</v>
      </c>
      <c r="C31" s="40">
        <f>IF(ISERROR(B31*3.6/1000000/'E Balans VL '!Z19*100),0,B31*3.6/1000000/'E Balans VL '!Z19*100)</f>
        <v>0.10678271380345086</v>
      </c>
      <c r="D31" s="240" t="s">
        <v>707</v>
      </c>
    </row>
    <row r="32" spans="1:18">
      <c r="A32" s="174" t="s">
        <v>41</v>
      </c>
      <c r="B32" s="38">
        <f>IF( ISERROR(IND_voed_ele_kWh/1000),0,IND_voed_ele_kWh/1000)</f>
        <v>1140.1175238625901</v>
      </c>
      <c r="C32" s="40">
        <f>IF(ISERROR(B32*3.6/1000000/'E Balans VL '!Z20*100),0,B32*3.6/1000000/'E Balans VL '!Z20*100)</f>
        <v>4.0300851903688491E-2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6110.2397429353205</v>
      </c>
      <c r="C35" s="40">
        <f>IF(ISERROR(B35*3.6/1000000/'E Balans VL '!Z22*100),0,B35*3.6/1000000/'E Balans VL '!Z22*100)</f>
        <v>1.2279858853903485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16626.391938655499</v>
      </c>
      <c r="C37" s="40">
        <f>IF(ISERROR(B37*3.6/1000000/'E Balans VL '!Z15*100),0,B37*3.6/1000000/'E Balans VL '!Z15*100)</f>
        <v>0.12555382003171736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3474.8780349655162</v>
      </c>
      <c r="C5" s="18">
        <f>'Eigen informatie GS &amp; warmtenet'!B60</f>
        <v>0</v>
      </c>
      <c r="D5" s="31">
        <f>IF(ISERROR(SUM(LB_lb_gas_kWh,LB_rest_gas_kWh,onbekend_gas_kWh)/1000),0,SUM(LB_lb_gas_kWh,LB_rest_gas_kWh,onbekend_gas_kWh)/1000)*0.902</f>
        <v>161910.30470918486</v>
      </c>
      <c r="E5" s="18">
        <f>B17*'E Balans VL '!I25/3.6*1000000/100</f>
        <v>32.735679334032227</v>
      </c>
      <c r="F5" s="18">
        <f>B17*('E Balans VL '!L25/3.6*1000000+'E Balans VL '!N25/3.6*1000000)/100</f>
        <v>11339.680238833556</v>
      </c>
      <c r="G5" s="19"/>
      <c r="H5" s="18"/>
      <c r="I5" s="18"/>
      <c r="J5" s="18">
        <f>('E Balans VL '!D25+'E Balans VL '!E25)/3.6*1000000*landbouw!B17/100</f>
        <v>429.85931472874972</v>
      </c>
      <c r="K5" s="18"/>
      <c r="L5" s="18">
        <f>L6*(-1)</f>
        <v>65629.28571428571</v>
      </c>
      <c r="M5" s="18"/>
      <c r="N5" s="18">
        <f>N6*(-1)</f>
        <v>0</v>
      </c>
      <c r="O5" s="18"/>
      <c r="P5" s="18"/>
      <c r="R5" s="33"/>
    </row>
    <row r="6" spans="1:18">
      <c r="A6" s="17" t="s">
        <v>502</v>
      </c>
      <c r="B6" s="18" t="s">
        <v>211</v>
      </c>
      <c r="C6" s="18">
        <f>'lokale energieproductie'!O91+'lokale energieproductie'!O60</f>
        <v>92120.78571428571</v>
      </c>
      <c r="D6" s="312">
        <f>('lokale energieproductie'!P60+'lokale energieproductie'!P91)*(-1)</f>
        <v>-134254.28571428571</v>
      </c>
      <c r="E6" s="251"/>
      <c r="F6" s="312">
        <f>('lokale energieproductie'!S60+'lokale energieproductie'!S91)*(-1)</f>
        <v>-7492.5</v>
      </c>
      <c r="G6" s="252"/>
      <c r="H6" s="251"/>
      <c r="I6" s="251"/>
      <c r="J6" s="251"/>
      <c r="K6" s="251"/>
      <c r="L6" s="312">
        <f>('lokale energieproductie'!T60+'lokale energieproductie'!U60+'lokale energieproductie'!T91+'lokale energieproductie'!U91)*(-1)</f>
        <v>-65629.28571428571</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3474.8780349655162</v>
      </c>
      <c r="C8" s="22">
        <f>C5+C6</f>
        <v>92120.78571428571</v>
      </c>
      <c r="D8" s="22">
        <f>MAX((D5+D6),0)</f>
        <v>27656.018994899146</v>
      </c>
      <c r="E8" s="22">
        <f>MAX((E5+E6),0)</f>
        <v>32.735679334032227</v>
      </c>
      <c r="F8" s="22">
        <f>MAX((F5+F6),0)</f>
        <v>3847.1802388335564</v>
      </c>
      <c r="G8" s="22"/>
      <c r="H8" s="22"/>
      <c r="I8" s="22"/>
      <c r="J8" s="22">
        <f>MAX((J5+J6),0)</f>
        <v>429.85931472874972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0.18735977336655965</v>
      </c>
      <c r="C10" s="32">
        <f ca="1">'EF ele_warmte'!B22</f>
        <v>0.1829679768632029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651.05236110757528</v>
      </c>
      <c r="C12" s="24">
        <f ca="1">C8*C10</f>
        <v>16855.1537891915</v>
      </c>
      <c r="D12" s="24">
        <f>D8*D10</f>
        <v>5586.5158369696283</v>
      </c>
      <c r="E12" s="24">
        <f>E8*E10</f>
        <v>7.4309992088253161</v>
      </c>
      <c r="F12" s="24">
        <f>F8*F10</f>
        <v>1027.1971237685595</v>
      </c>
      <c r="G12" s="24"/>
      <c r="H12" s="24"/>
      <c r="I12" s="24"/>
      <c r="J12" s="24">
        <f>J8*J10</f>
        <v>152.17019741397741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0.47044295915835488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237.34992659716946</v>
      </c>
      <c r="C26" s="250">
        <f>B26*'GWP N2O_CH4'!B5</f>
        <v>4984.3484585405586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43.595005098779339</v>
      </c>
      <c r="C27" s="250">
        <f>B27*'GWP N2O_CH4'!B5</f>
        <v>915.49510707436616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3.6623619435461667</v>
      </c>
      <c r="C28" s="250">
        <f>B28*'GWP N2O_CH4'!B4</f>
        <v>1135.3322024993117</v>
      </c>
      <c r="D28" s="51"/>
    </row>
    <row r="29" spans="1:4">
      <c r="A29" s="42" t="s">
        <v>277</v>
      </c>
      <c r="B29" s="250">
        <f>B34*'ha_N2O bodem landbouw'!B4</f>
        <v>11.146552370217883</v>
      </c>
      <c r="C29" s="250">
        <f>B29*'GWP N2O_CH4'!B4</f>
        <v>3455.4312347675436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3.0092182435158864E-3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1.4609679871044931E-5</v>
      </c>
      <c r="C5" s="447" t="s">
        <v>211</v>
      </c>
      <c r="D5" s="432">
        <f>SUM(D6:D11)</f>
        <v>3.8191269244105554E-5</v>
      </c>
      <c r="E5" s="432">
        <f>SUM(E6:E11)</f>
        <v>2.2359711716363031E-3</v>
      </c>
      <c r="F5" s="445" t="s">
        <v>211</v>
      </c>
      <c r="G5" s="432">
        <f>SUM(G6:G11)</f>
        <v>0.5138292624537435</v>
      </c>
      <c r="H5" s="432">
        <f>SUM(H6:H11)</f>
        <v>8.5301142636685395E-2</v>
      </c>
      <c r="I5" s="447" t="s">
        <v>211</v>
      </c>
      <c r="J5" s="447" t="s">
        <v>211</v>
      </c>
      <c r="K5" s="447" t="s">
        <v>211</v>
      </c>
      <c r="L5" s="447" t="s">
        <v>211</v>
      </c>
      <c r="M5" s="432">
        <f>SUM(M6:M11)</f>
        <v>2.6782963814760748E-2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1.3313290686178605E-5</v>
      </c>
      <c r="C6" s="433"/>
      <c r="D6" s="433">
        <f>vkm_2011_GW_PW*SUMIFS(TableVerdeelsleutelVkm[CNG],TableVerdeelsleutelVkm[Voertuigtype],"Lichte voertuigen")*SUMIFS(TableECFTransport[EnergieConsumptieFactor (PJ per km)],TableECFTransport[Index],CONCATENATE($A6,"_CNG_CNG"))</f>
        <v>3.2511278814744446E-5</v>
      </c>
      <c r="E6" s="435">
        <f>vkm_2011_GW_PW*SUMIFS(TableVerdeelsleutelVkm[LPG],TableVerdeelsleutelVkm[Voertuigtype],"Lichte voertuigen")*SUMIFS(TableECFTransport[EnergieConsumptieFactor (PJ per km)],TableECFTransport[Index],CONCATENATE($A6,"_LPG_LPG"))</f>
        <v>1.9271005943674847E-3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0.27858506031815811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7.3009140708864662E-2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1.5745035822425077E-2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0.18666625203817172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7.5312555191939826E-5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8.3159237741665618E-3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1.2963891848663268E-6</v>
      </c>
      <c r="C8" s="433"/>
      <c r="D8" s="435">
        <f>vkm_2011_NGW_PW*SUMIFS(TableVerdeelsleutelVkm[CNG],TableVerdeelsleutelVkm[Voertuigtype],"Lichte voertuigen")*SUMIFS(TableECFTransport[EnergieConsumptieFactor (PJ per km)],TableECFTransport[Index],CONCATENATE($A8,"_CNG_CNG"))</f>
        <v>5.6799904293611119E-6</v>
      </c>
      <c r="E8" s="435">
        <f>vkm_2011_NGW_PW*SUMIFS(TableVerdeelsleutelVkm[LPG],TableVerdeelsleutelVkm[Voertuigtype],"Lichte voertuigen")*SUMIFS(TableECFTransport[EnergieConsumptieFactor (PJ per km)],TableECFTransport[Index],CONCATENATE($A8,"_LPG_LPG"))</f>
        <v>3.088705772688184E-4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4.2181010295931576E-2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1.2214442180591782E-2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2.4370377930996844E-3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6.3969398014820872E-3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2.2471920370092446E-6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2.8496642506942627E-4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4.058244408623592</v>
      </c>
      <c r="C14" s="22"/>
      <c r="D14" s="22">
        <f t="shared" ref="D14:M14" si="0">((D5)*10^9/3600)+D12</f>
        <v>10.608685901140433</v>
      </c>
      <c r="E14" s="22">
        <f t="shared" si="0"/>
        <v>621.10310323230635</v>
      </c>
      <c r="F14" s="22"/>
      <c r="G14" s="22">
        <f t="shared" si="0"/>
        <v>142730.35068159542</v>
      </c>
      <c r="H14" s="22">
        <f t="shared" si="0"/>
        <v>23694.761843523724</v>
      </c>
      <c r="I14" s="22"/>
      <c r="J14" s="22"/>
      <c r="K14" s="22"/>
      <c r="L14" s="22"/>
      <c r="M14" s="22">
        <f t="shared" si="0"/>
        <v>7439.7121707668748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0.18735977336655965</v>
      </c>
      <c r="C16" s="57">
        <f ca="1">'EF ele_warmte'!B22</f>
        <v>0.1829679768632029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0.76035175266582411</v>
      </c>
      <c r="C18" s="24"/>
      <c r="D18" s="24">
        <f t="shared" ref="D18:M18" si="1">D14*D16</f>
        <v>2.1429545520303677</v>
      </c>
      <c r="E18" s="24">
        <f t="shared" si="1"/>
        <v>140.99040443373354</v>
      </c>
      <c r="F18" s="24"/>
      <c r="G18" s="24">
        <f t="shared" si="1"/>
        <v>38109.003631985979</v>
      </c>
      <c r="H18" s="24">
        <f t="shared" si="1"/>
        <v>5899.9956990374076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1.7765651864012997E-2</v>
      </c>
      <c r="H50" s="323">
        <f t="shared" si="2"/>
        <v>0</v>
      </c>
      <c r="I50" s="323">
        <f t="shared" si="2"/>
        <v>0</v>
      </c>
      <c r="J50" s="323">
        <f t="shared" si="2"/>
        <v>0</v>
      </c>
      <c r="K50" s="323">
        <f t="shared" si="2"/>
        <v>0</v>
      </c>
      <c r="L50" s="323">
        <f t="shared" si="2"/>
        <v>0</v>
      </c>
      <c r="M50" s="323">
        <f t="shared" si="2"/>
        <v>7.8011907962469986E-4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1.7765651864012997E-2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7.8011907962469986E-4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4934.9032955591656</v>
      </c>
      <c r="H54" s="22">
        <f t="shared" si="3"/>
        <v>0</v>
      </c>
      <c r="I54" s="22">
        <f t="shared" si="3"/>
        <v>0</v>
      </c>
      <c r="J54" s="22">
        <f t="shared" si="3"/>
        <v>0</v>
      </c>
      <c r="K54" s="22">
        <f t="shared" si="3"/>
        <v>0</v>
      </c>
      <c r="L54" s="22">
        <f t="shared" si="3"/>
        <v>0</v>
      </c>
      <c r="M54" s="22">
        <f t="shared" si="3"/>
        <v>216.69974434019443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0.18735977336655965</v>
      </c>
      <c r="C56" s="57">
        <f ca="1">'EF ele_warmte'!B22</f>
        <v>0.1829679768632029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1317.6191799142973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7791.745761124911</v>
      </c>
      <c r="C6" s="1135"/>
      <c r="D6" s="1138"/>
      <c r="E6" s="1138"/>
      <c r="F6" s="1141"/>
      <c r="G6" s="1144"/>
      <c r="H6" s="1132"/>
      <c r="I6" s="1138"/>
      <c r="J6" s="1138"/>
      <c r="K6" s="1138"/>
      <c r="L6" s="1168"/>
      <c r="M6" s="560"/>
      <c r="N6" s="1180"/>
      <c r="O6" s="1181"/>
      <c r="Q6" s="558"/>
      <c r="R6" s="1165"/>
      <c r="S6" s="1165"/>
    </row>
    <row r="7" spans="1:19" s="548" customFormat="1">
      <c r="A7" s="561" t="s">
        <v>252</v>
      </c>
      <c r="B7" s="562">
        <f>N57</f>
        <v>67032</v>
      </c>
      <c r="C7" s="563">
        <f>B100</f>
        <v>56545.245121601474</v>
      </c>
      <c r="D7" s="564"/>
      <c r="E7" s="564">
        <f>E100</f>
        <v>3155.6925488041816</v>
      </c>
      <c r="F7" s="565"/>
      <c r="G7" s="566"/>
      <c r="H7" s="564">
        <f>I100</f>
        <v>0</v>
      </c>
      <c r="I7" s="564">
        <f>G100+F100</f>
        <v>19160.238800182575</v>
      </c>
      <c r="J7" s="564">
        <f>H100+D100+C100</f>
        <v>0</v>
      </c>
      <c r="K7" s="564"/>
      <c r="L7" s="567"/>
      <c r="M7" s="568">
        <f>C7*$C$11+D7*$D$11+E7*$E$11+F7*$F$11+G7*$G$11+H7*$H$11+I7*$I$11+J7*$J$11</f>
        <v>12264.709425094214</v>
      </c>
      <c r="N7" s="1180"/>
      <c r="O7" s="1181"/>
      <c r="Q7" s="558"/>
      <c r="R7" s="1165"/>
      <c r="S7" s="1165"/>
    </row>
    <row r="8" spans="1:19" s="548" customFormat="1" ht="17.45" customHeight="1" thickBot="1">
      <c r="A8" s="569" t="s">
        <v>248</v>
      </c>
      <c r="B8" s="570">
        <f>N88+'Eigen informatie GS &amp; warmtenet'!B12</f>
        <v>8055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20137.5</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82878.745761124912</v>
      </c>
      <c r="C9" s="579">
        <f t="shared" ref="C9:L9" si="0">SUM(C7:C8)</f>
        <v>56545.245121601474</v>
      </c>
      <c r="D9" s="579">
        <f t="shared" si="0"/>
        <v>0</v>
      </c>
      <c r="E9" s="579">
        <f t="shared" si="0"/>
        <v>3155.6925488041816</v>
      </c>
      <c r="F9" s="579">
        <f t="shared" si="0"/>
        <v>0</v>
      </c>
      <c r="G9" s="579">
        <f t="shared" si="0"/>
        <v>0</v>
      </c>
      <c r="H9" s="579">
        <f t="shared" si="0"/>
        <v>0</v>
      </c>
      <c r="I9" s="579">
        <f t="shared" si="0"/>
        <v>39297.738800182575</v>
      </c>
      <c r="J9" s="579">
        <f t="shared" si="0"/>
        <v>0</v>
      </c>
      <c r="K9" s="579">
        <f t="shared" si="0"/>
        <v>0</v>
      </c>
      <c r="L9" s="579">
        <f t="shared" si="0"/>
        <v>0</v>
      </c>
      <c r="M9" s="580">
        <f>SUM(M4:M8)</f>
        <v>12264.709425094214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92120.78571428571</v>
      </c>
      <c r="C16" s="595">
        <f>B101</f>
        <v>77709.040592684236</v>
      </c>
      <c r="D16" s="596"/>
      <c r="E16" s="596">
        <f>E101</f>
        <v>4336.8074511958184</v>
      </c>
      <c r="F16" s="597"/>
      <c r="G16" s="598"/>
      <c r="H16" s="595">
        <f>I101</f>
        <v>0</v>
      </c>
      <c r="I16" s="596">
        <f>G101+F101</f>
        <v>26331.546914103143</v>
      </c>
      <c r="J16" s="596">
        <f>H101+D101+C101</f>
        <v>0</v>
      </c>
      <c r="K16" s="596"/>
      <c r="L16" s="599"/>
      <c r="M16" s="600">
        <f>C16*$C$21+E16*$E$21+H16*$H$21+I16*$I$21+J16*$J$21+D16*$D$21+F16*$F$21+G16*$G$21+K16*$K$21+L16*$L$21</f>
        <v>16855.1537891915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92120.78571428571</v>
      </c>
      <c r="C19" s="578">
        <f>SUM(C16:C18)</f>
        <v>77709.040592684236</v>
      </c>
      <c r="D19" s="578">
        <f t="shared" ref="D19:M19" si="1">SUM(D16:D18)</f>
        <v>0</v>
      </c>
      <c r="E19" s="578">
        <f t="shared" si="1"/>
        <v>4336.8074511958184</v>
      </c>
      <c r="F19" s="578">
        <f t="shared" si="1"/>
        <v>0</v>
      </c>
      <c r="G19" s="578">
        <f t="shared" si="1"/>
        <v>0</v>
      </c>
      <c r="H19" s="578">
        <f t="shared" si="1"/>
        <v>0</v>
      </c>
      <c r="I19" s="578">
        <f t="shared" si="1"/>
        <v>26331.546914103143</v>
      </c>
      <c r="J19" s="578">
        <f t="shared" si="1"/>
        <v>0</v>
      </c>
      <c r="K19" s="578">
        <f t="shared" si="1"/>
        <v>0</v>
      </c>
      <c r="L19" s="578">
        <f t="shared" si="1"/>
        <v>0</v>
      </c>
      <c r="M19" s="605">
        <f t="shared" si="1"/>
        <v>16855.1537891915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12021</v>
      </c>
      <c r="C27" s="840">
        <v>2500</v>
      </c>
      <c r="D27" s="657" t="s">
        <v>877</v>
      </c>
      <c r="E27" s="656" t="s">
        <v>878</v>
      </c>
      <c r="F27" s="656" t="s">
        <v>879</v>
      </c>
      <c r="G27" s="656" t="s">
        <v>880</v>
      </c>
      <c r="H27" s="656" t="s">
        <v>881</v>
      </c>
      <c r="I27" s="656" t="s">
        <v>878</v>
      </c>
      <c r="J27" s="839">
        <v>39370</v>
      </c>
      <c r="K27" s="839">
        <v>39444</v>
      </c>
      <c r="L27" s="656" t="s">
        <v>882</v>
      </c>
      <c r="M27" s="656">
        <v>1147</v>
      </c>
      <c r="N27" s="656">
        <v>5161.5</v>
      </c>
      <c r="O27" s="656">
        <v>7373.5714285714284</v>
      </c>
      <c r="P27" s="656">
        <v>14747.142857142859</v>
      </c>
      <c r="Q27" s="656">
        <v>0</v>
      </c>
      <c r="R27" s="656">
        <v>0</v>
      </c>
      <c r="S27" s="656">
        <v>0</v>
      </c>
      <c r="T27" s="656">
        <v>0</v>
      </c>
      <c r="U27" s="656">
        <v>0</v>
      </c>
      <c r="V27" s="656">
        <v>0</v>
      </c>
      <c r="W27" s="656"/>
      <c r="X27" s="656">
        <v>10</v>
      </c>
      <c r="Y27" s="656" t="s">
        <v>112</v>
      </c>
      <c r="Z27" s="658" t="s">
        <v>112</v>
      </c>
    </row>
    <row r="28" spans="1:26" s="610" customFormat="1" ht="25.5">
      <c r="A28" s="609"/>
      <c r="B28" s="840">
        <v>12021</v>
      </c>
      <c r="C28" s="840">
        <v>2500</v>
      </c>
      <c r="D28" s="657" t="s">
        <v>883</v>
      </c>
      <c r="E28" s="656" t="s">
        <v>884</v>
      </c>
      <c r="F28" s="656" t="s">
        <v>885</v>
      </c>
      <c r="G28" s="656" t="s">
        <v>880</v>
      </c>
      <c r="H28" s="656" t="s">
        <v>881</v>
      </c>
      <c r="I28" s="656" t="s">
        <v>884</v>
      </c>
      <c r="J28" s="839">
        <v>39386</v>
      </c>
      <c r="K28" s="839">
        <v>39218</v>
      </c>
      <c r="L28" s="656" t="s">
        <v>882</v>
      </c>
      <c r="M28" s="656">
        <v>3116</v>
      </c>
      <c r="N28" s="656">
        <v>14022</v>
      </c>
      <c r="O28" s="656">
        <v>20031.428571428572</v>
      </c>
      <c r="P28" s="656">
        <v>40062.857142857145</v>
      </c>
      <c r="Q28" s="656">
        <v>0</v>
      </c>
      <c r="R28" s="656">
        <v>0</v>
      </c>
      <c r="S28" s="656">
        <v>0</v>
      </c>
      <c r="T28" s="656">
        <v>0</v>
      </c>
      <c r="U28" s="656">
        <v>0</v>
      </c>
      <c r="V28" s="656">
        <v>0</v>
      </c>
      <c r="W28" s="656"/>
      <c r="X28" s="656">
        <v>10</v>
      </c>
      <c r="Y28" s="656" t="s">
        <v>112</v>
      </c>
      <c r="Z28" s="658" t="s">
        <v>112</v>
      </c>
    </row>
    <row r="29" spans="1:26" s="610" customFormat="1" ht="25.5">
      <c r="A29" s="609"/>
      <c r="B29" s="840">
        <v>12021</v>
      </c>
      <c r="C29" s="840">
        <v>2500</v>
      </c>
      <c r="D29" s="657" t="s">
        <v>886</v>
      </c>
      <c r="E29" s="656" t="s">
        <v>887</v>
      </c>
      <c r="F29" s="656" t="s">
        <v>888</v>
      </c>
      <c r="G29" s="656" t="s">
        <v>880</v>
      </c>
      <c r="H29" s="656" t="s">
        <v>881</v>
      </c>
      <c r="I29" s="656" t="s">
        <v>889</v>
      </c>
      <c r="J29" s="839">
        <v>39721</v>
      </c>
      <c r="K29" s="839">
        <v>39721</v>
      </c>
      <c r="L29" s="656" t="s">
        <v>882</v>
      </c>
      <c r="M29" s="656">
        <v>1790</v>
      </c>
      <c r="N29" s="656">
        <v>8055</v>
      </c>
      <c r="O29" s="656">
        <v>11507.142857142857</v>
      </c>
      <c r="P29" s="656">
        <v>0</v>
      </c>
      <c r="Q29" s="656">
        <v>0</v>
      </c>
      <c r="R29" s="656">
        <v>0</v>
      </c>
      <c r="S29" s="656">
        <v>0</v>
      </c>
      <c r="T29" s="656">
        <v>23014.285714285717</v>
      </c>
      <c r="U29" s="656">
        <v>0</v>
      </c>
      <c r="V29" s="656">
        <v>0</v>
      </c>
      <c r="W29" s="656"/>
      <c r="X29" s="656">
        <v>10</v>
      </c>
      <c r="Y29" s="656" t="s">
        <v>112</v>
      </c>
      <c r="Z29" s="658" t="s">
        <v>112</v>
      </c>
    </row>
    <row r="30" spans="1:26" s="610" customFormat="1" ht="25.5">
      <c r="A30" s="609"/>
      <c r="B30" s="840">
        <v>12021</v>
      </c>
      <c r="C30" s="840">
        <v>2500</v>
      </c>
      <c r="D30" s="657" t="s">
        <v>890</v>
      </c>
      <c r="E30" s="656" t="s">
        <v>891</v>
      </c>
      <c r="F30" s="656" t="s">
        <v>892</v>
      </c>
      <c r="G30" s="656" t="s">
        <v>880</v>
      </c>
      <c r="H30" s="656" t="s">
        <v>881</v>
      </c>
      <c r="I30" s="656" t="s">
        <v>893</v>
      </c>
      <c r="J30" s="839">
        <v>39998</v>
      </c>
      <c r="K30" s="839">
        <v>40028</v>
      </c>
      <c r="L30" s="656" t="s">
        <v>882</v>
      </c>
      <c r="M30" s="656">
        <v>1562</v>
      </c>
      <c r="N30" s="656">
        <v>7029</v>
      </c>
      <c r="O30" s="656">
        <v>10041.428571428572</v>
      </c>
      <c r="P30" s="656">
        <v>20082.857142857145</v>
      </c>
      <c r="Q30" s="656">
        <v>0</v>
      </c>
      <c r="R30" s="656">
        <v>0</v>
      </c>
      <c r="S30" s="656">
        <v>0</v>
      </c>
      <c r="T30" s="656">
        <v>0</v>
      </c>
      <c r="U30" s="656">
        <v>0</v>
      </c>
      <c r="V30" s="656">
        <v>0</v>
      </c>
      <c r="W30" s="656"/>
      <c r="X30" s="656">
        <v>10</v>
      </c>
      <c r="Y30" s="656" t="s">
        <v>112</v>
      </c>
      <c r="Z30" s="658" t="s">
        <v>112</v>
      </c>
    </row>
    <row r="31" spans="1:26" s="610" customFormat="1" ht="38.25">
      <c r="A31" s="609"/>
      <c r="B31" s="840">
        <v>12021</v>
      </c>
      <c r="C31" s="840">
        <v>2500</v>
      </c>
      <c r="D31" s="657" t="s">
        <v>894</v>
      </c>
      <c r="E31" s="656" t="s">
        <v>895</v>
      </c>
      <c r="F31" s="656" t="s">
        <v>896</v>
      </c>
      <c r="G31" s="656" t="s">
        <v>880</v>
      </c>
      <c r="H31" s="656" t="s">
        <v>881</v>
      </c>
      <c r="I31" s="656" t="s">
        <v>897</v>
      </c>
      <c r="J31" s="839">
        <v>40016</v>
      </c>
      <c r="K31" s="839">
        <v>40023</v>
      </c>
      <c r="L31" s="656" t="s">
        <v>882</v>
      </c>
      <c r="M31" s="656">
        <v>1008</v>
      </c>
      <c r="N31" s="656">
        <v>4536</v>
      </c>
      <c r="O31" s="656">
        <v>6480</v>
      </c>
      <c r="P31" s="656">
        <v>12960</v>
      </c>
      <c r="Q31" s="656">
        <v>0</v>
      </c>
      <c r="R31" s="656">
        <v>0</v>
      </c>
      <c r="S31" s="656">
        <v>0</v>
      </c>
      <c r="T31" s="656">
        <v>0</v>
      </c>
      <c r="U31" s="656">
        <v>0</v>
      </c>
      <c r="V31" s="656">
        <v>0</v>
      </c>
      <c r="W31" s="656"/>
      <c r="X31" s="656">
        <v>10</v>
      </c>
      <c r="Y31" s="656" t="s">
        <v>112</v>
      </c>
      <c r="Z31" s="658" t="s">
        <v>112</v>
      </c>
    </row>
    <row r="32" spans="1:26" s="610" customFormat="1" ht="25.5">
      <c r="A32" s="609"/>
      <c r="B32" s="840">
        <v>12021</v>
      </c>
      <c r="C32" s="840">
        <v>2500</v>
      </c>
      <c r="D32" s="657" t="s">
        <v>898</v>
      </c>
      <c r="E32" s="656" t="s">
        <v>899</v>
      </c>
      <c r="F32" s="656" t="s">
        <v>900</v>
      </c>
      <c r="G32" s="656" t="s">
        <v>880</v>
      </c>
      <c r="H32" s="656" t="s">
        <v>881</v>
      </c>
      <c r="I32" s="656" t="s">
        <v>899</v>
      </c>
      <c r="J32" s="839">
        <v>40043</v>
      </c>
      <c r="K32" s="839">
        <v>40043</v>
      </c>
      <c r="L32" s="656" t="s">
        <v>882</v>
      </c>
      <c r="M32" s="656">
        <v>2425</v>
      </c>
      <c r="N32" s="656">
        <v>10912.5</v>
      </c>
      <c r="O32" s="656">
        <v>15589.285714285714</v>
      </c>
      <c r="P32" s="656">
        <v>31178.571428571431</v>
      </c>
      <c r="Q32" s="656">
        <v>0</v>
      </c>
      <c r="R32" s="656">
        <v>0</v>
      </c>
      <c r="S32" s="656">
        <v>0</v>
      </c>
      <c r="T32" s="656">
        <v>0</v>
      </c>
      <c r="U32" s="656">
        <v>0</v>
      </c>
      <c r="V32" s="656">
        <v>0</v>
      </c>
      <c r="W32" s="656"/>
      <c r="X32" s="656">
        <v>10</v>
      </c>
      <c r="Y32" s="656" t="s">
        <v>112</v>
      </c>
      <c r="Z32" s="658" t="s">
        <v>112</v>
      </c>
    </row>
    <row r="33" spans="1:26" s="610" customFormat="1" ht="25.5">
      <c r="A33" s="609"/>
      <c r="B33" s="840">
        <v>12021</v>
      </c>
      <c r="C33" s="840">
        <v>2500</v>
      </c>
      <c r="D33" s="657" t="s">
        <v>901</v>
      </c>
      <c r="E33" s="656" t="s">
        <v>902</v>
      </c>
      <c r="F33" s="656" t="s">
        <v>903</v>
      </c>
      <c r="G33" s="656" t="s">
        <v>880</v>
      </c>
      <c r="H33" s="656" t="s">
        <v>881</v>
      </c>
      <c r="I33" s="656" t="s">
        <v>902</v>
      </c>
      <c r="J33" s="839">
        <v>40619</v>
      </c>
      <c r="K33" s="839">
        <v>40619</v>
      </c>
      <c r="L33" s="656" t="s">
        <v>882</v>
      </c>
      <c r="M33" s="656">
        <v>1184</v>
      </c>
      <c r="N33" s="656">
        <v>5328</v>
      </c>
      <c r="O33" s="656">
        <v>7611.4285714285716</v>
      </c>
      <c r="P33" s="656">
        <v>15222.857142857143</v>
      </c>
      <c r="Q33" s="656">
        <v>0</v>
      </c>
      <c r="R33" s="656">
        <v>0</v>
      </c>
      <c r="S33" s="656">
        <v>0</v>
      </c>
      <c r="T33" s="656">
        <v>0</v>
      </c>
      <c r="U33" s="656">
        <v>0</v>
      </c>
      <c r="V33" s="656">
        <v>0</v>
      </c>
      <c r="W33" s="656"/>
      <c r="X33" s="656">
        <v>10</v>
      </c>
      <c r="Y33" s="656" t="s">
        <v>112</v>
      </c>
      <c r="Z33" s="658" t="s">
        <v>112</v>
      </c>
    </row>
    <row r="34" spans="1:26" s="610" customFormat="1" ht="38.25">
      <c r="A34" s="609"/>
      <c r="B34" s="840">
        <v>12021</v>
      </c>
      <c r="C34" s="840">
        <v>2500</v>
      </c>
      <c r="D34" s="657" t="s">
        <v>904</v>
      </c>
      <c r="E34" s="656" t="s">
        <v>905</v>
      </c>
      <c r="F34" s="656" t="s">
        <v>906</v>
      </c>
      <c r="G34" s="656" t="s">
        <v>880</v>
      </c>
      <c r="H34" s="656" t="s">
        <v>907</v>
      </c>
      <c r="I34" s="656" t="s">
        <v>905</v>
      </c>
      <c r="J34" s="839">
        <v>40823</v>
      </c>
      <c r="K34" s="839">
        <v>39630</v>
      </c>
      <c r="L34" s="656" t="s">
        <v>882</v>
      </c>
      <c r="M34" s="656">
        <v>2664</v>
      </c>
      <c r="N34" s="656">
        <v>11988</v>
      </c>
      <c r="O34" s="656">
        <v>13486.5</v>
      </c>
      <c r="P34" s="656">
        <v>0</v>
      </c>
      <c r="Q34" s="656">
        <v>0</v>
      </c>
      <c r="R34" s="656">
        <v>0</v>
      </c>
      <c r="S34" s="656">
        <v>7492.5</v>
      </c>
      <c r="T34" s="656">
        <v>0</v>
      </c>
      <c r="U34" s="656">
        <v>22477.5</v>
      </c>
      <c r="V34" s="656">
        <v>0</v>
      </c>
      <c r="W34" s="656"/>
      <c r="X34" s="656">
        <v>10</v>
      </c>
      <c r="Y34" s="656" t="s">
        <v>112</v>
      </c>
      <c r="Z34" s="658" t="s">
        <v>112</v>
      </c>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14896</v>
      </c>
      <c r="N57" s="614">
        <f>SUM(N27:N56)</f>
        <v>67032</v>
      </c>
      <c r="O57" s="614">
        <f t="shared" ref="O57:W57" si="2">SUM(O27:O56)</f>
        <v>92120.78571428571</v>
      </c>
      <c r="P57" s="614">
        <f t="shared" si="2"/>
        <v>134254.28571428571</v>
      </c>
      <c r="Q57" s="614">
        <f t="shared" si="2"/>
        <v>0</v>
      </c>
      <c r="R57" s="614">
        <f t="shared" si="2"/>
        <v>0</v>
      </c>
      <c r="S57" s="614">
        <f t="shared" si="2"/>
        <v>7492.5</v>
      </c>
      <c r="T57" s="614">
        <f t="shared" si="2"/>
        <v>23014.285714285717</v>
      </c>
      <c r="U57" s="614">
        <f t="shared" si="2"/>
        <v>22477.5</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14896</v>
      </c>
      <c r="N60" s="619">
        <f t="shared" ref="N60:W60" si="4">SUMIF($Z$27:$Z$56,"landbouw",N27:N56)</f>
        <v>67032</v>
      </c>
      <c r="O60" s="619">
        <f t="shared" si="4"/>
        <v>92120.78571428571</v>
      </c>
      <c r="P60" s="619">
        <f t="shared" si="4"/>
        <v>134254.28571428571</v>
      </c>
      <c r="Q60" s="619">
        <f t="shared" si="4"/>
        <v>0</v>
      </c>
      <c r="R60" s="619">
        <f t="shared" si="4"/>
        <v>0</v>
      </c>
      <c r="S60" s="619">
        <f t="shared" si="4"/>
        <v>7492.5</v>
      </c>
      <c r="T60" s="619">
        <f t="shared" si="4"/>
        <v>23014.285714285717</v>
      </c>
      <c r="U60" s="619">
        <f t="shared" si="4"/>
        <v>22477.5</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12021</v>
      </c>
      <c r="C63" s="840">
        <v>2500</v>
      </c>
      <c r="D63" s="659" t="s">
        <v>908</v>
      </c>
      <c r="E63" s="659" t="s">
        <v>909</v>
      </c>
      <c r="F63" s="659" t="s">
        <v>910</v>
      </c>
      <c r="G63" s="659" t="s">
        <v>911</v>
      </c>
      <c r="H63" s="659" t="s">
        <v>912</v>
      </c>
      <c r="I63" s="659" t="s">
        <v>889</v>
      </c>
      <c r="J63" s="839">
        <v>39721</v>
      </c>
      <c r="K63" s="839">
        <v>39721</v>
      </c>
      <c r="L63" s="659" t="s">
        <v>913</v>
      </c>
      <c r="M63" s="659">
        <v>1790</v>
      </c>
      <c r="N63" s="659">
        <v>8055</v>
      </c>
      <c r="O63" s="659">
        <v>0</v>
      </c>
      <c r="P63" s="659">
        <v>0</v>
      </c>
      <c r="Q63" s="659">
        <v>0</v>
      </c>
      <c r="R63" s="659">
        <v>0</v>
      </c>
      <c r="S63" s="659">
        <v>0</v>
      </c>
      <c r="T63" s="659">
        <v>20137.5</v>
      </c>
      <c r="U63" s="659">
        <v>0</v>
      </c>
      <c r="V63" s="659">
        <v>0</v>
      </c>
      <c r="W63" s="659"/>
      <c r="X63" s="659">
        <v>10</v>
      </c>
      <c r="Y63" s="659" t="s">
        <v>112</v>
      </c>
      <c r="Z63" s="660" t="s">
        <v>112</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1790</v>
      </c>
      <c r="N88" s="614">
        <f t="shared" ref="N88:W88" si="5">SUM(N63:N87)</f>
        <v>8055</v>
      </c>
      <c r="O88" s="614">
        <f t="shared" si="5"/>
        <v>0</v>
      </c>
      <c r="P88" s="614">
        <f t="shared" si="5"/>
        <v>0</v>
      </c>
      <c r="Q88" s="614">
        <f t="shared" si="5"/>
        <v>0</v>
      </c>
      <c r="R88" s="614">
        <f t="shared" si="5"/>
        <v>0</v>
      </c>
      <c r="S88" s="614">
        <f t="shared" si="5"/>
        <v>0</v>
      </c>
      <c r="T88" s="614">
        <f t="shared" si="5"/>
        <v>20137.5</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1790</v>
      </c>
      <c r="N91" s="619">
        <f t="shared" si="8"/>
        <v>8055</v>
      </c>
      <c r="O91" s="619">
        <f t="shared" si="8"/>
        <v>0</v>
      </c>
      <c r="P91" s="619">
        <f t="shared" si="8"/>
        <v>0</v>
      </c>
      <c r="Q91" s="619">
        <f t="shared" si="8"/>
        <v>0</v>
      </c>
      <c r="R91" s="619">
        <f t="shared" si="8"/>
        <v>0</v>
      </c>
      <c r="S91" s="619">
        <f t="shared" si="8"/>
        <v>0</v>
      </c>
      <c r="T91" s="619">
        <f t="shared" si="8"/>
        <v>20137.5</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0.5788198133060819</v>
      </c>
      <c r="C97" s="639">
        <f>IF(ISERROR(N57/(O57+N57)),0,N57/(N57+O57))</f>
        <v>0.4211801866939181</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56545.245121601474</v>
      </c>
      <c r="C100" s="648">
        <f t="shared" si="9"/>
        <v>0</v>
      </c>
      <c r="D100" s="648">
        <f t="shared" si="9"/>
        <v>0</v>
      </c>
      <c r="E100" s="648">
        <f t="shared" si="9"/>
        <v>3155.6925488041816</v>
      </c>
      <c r="F100" s="648">
        <f t="shared" si="9"/>
        <v>9693.1611537700301</v>
      </c>
      <c r="G100" s="648">
        <f t="shared" si="9"/>
        <v>9467.0776464125447</v>
      </c>
      <c r="H100" s="648">
        <f t="shared" si="9"/>
        <v>0</v>
      </c>
      <c r="I100" s="649">
        <f t="shared" si="9"/>
        <v>0</v>
      </c>
      <c r="J100" s="606"/>
      <c r="K100" s="606"/>
      <c r="L100" s="644"/>
      <c r="M100" s="631"/>
      <c r="N100" s="631"/>
    </row>
    <row r="101" spans="1:14" ht="15.75" thickBot="1">
      <c r="A101" s="650" t="s">
        <v>286</v>
      </c>
      <c r="B101" s="651">
        <f>$B$97*P57</f>
        <v>77709.040592684236</v>
      </c>
      <c r="C101" s="651">
        <f t="shared" ref="C101:H101" si="10">$B$97*Q57</f>
        <v>0</v>
      </c>
      <c r="D101" s="651">
        <f t="shared" si="10"/>
        <v>0</v>
      </c>
      <c r="E101" s="651">
        <f t="shared" si="10"/>
        <v>4336.8074511958184</v>
      </c>
      <c r="F101" s="651">
        <f t="shared" si="10"/>
        <v>13321.124560515687</v>
      </c>
      <c r="G101" s="651">
        <f t="shared" si="10"/>
        <v>13010.422353587455</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60378.10415801574</v>
      </c>
      <c r="D10" s="703">
        <f ca="1">tertiair!C16</f>
        <v>0</v>
      </c>
      <c r="E10" s="703">
        <f ca="1">tertiair!D16</f>
        <v>67830.655405231882</v>
      </c>
      <c r="F10" s="703">
        <f>tertiair!E16</f>
        <v>559.14290853291402</v>
      </c>
      <c r="G10" s="703">
        <f ca="1">tertiair!F16</f>
        <v>12425.894592777568</v>
      </c>
      <c r="H10" s="703">
        <f>tertiair!G16</f>
        <v>0</v>
      </c>
      <c r="I10" s="703">
        <f>tertiair!H16</f>
        <v>0</v>
      </c>
      <c r="J10" s="703">
        <f>tertiair!I16</f>
        <v>0</v>
      </c>
      <c r="K10" s="703">
        <f>tertiair!J16</f>
        <v>0</v>
      </c>
      <c r="L10" s="703">
        <f>tertiair!K16</f>
        <v>0</v>
      </c>
      <c r="M10" s="703">
        <f ca="1">tertiair!L16</f>
        <v>0</v>
      </c>
      <c r="N10" s="703">
        <f>tertiair!M16</f>
        <v>0</v>
      </c>
      <c r="O10" s="703">
        <f ca="1">tertiair!N16</f>
        <v>4672.6330561207978</v>
      </c>
      <c r="P10" s="703">
        <f>tertiair!O16</f>
        <v>0</v>
      </c>
      <c r="Q10" s="704">
        <f>tertiair!P16</f>
        <v>0</v>
      </c>
      <c r="R10" s="706">
        <f ca="1">SUM(C10:Q10)</f>
        <v>145866.43012067891</v>
      </c>
      <c r="S10" s="68"/>
    </row>
    <row r="11" spans="1:19" s="458" customFormat="1">
      <c r="A11" s="859" t="s">
        <v>225</v>
      </c>
      <c r="B11" s="864"/>
      <c r="C11" s="703">
        <f>huishoudens!B8</f>
        <v>60933.20500980418</v>
      </c>
      <c r="D11" s="703">
        <f>huishoudens!C8</f>
        <v>0</v>
      </c>
      <c r="E11" s="703">
        <f>huishoudens!D8</f>
        <v>180165.19217785244</v>
      </c>
      <c r="F11" s="703">
        <f>huishoudens!E8</f>
        <v>4144.6393010769252</v>
      </c>
      <c r="G11" s="703">
        <f>huishoudens!F8</f>
        <v>0</v>
      </c>
      <c r="H11" s="703">
        <f>huishoudens!G8</f>
        <v>0</v>
      </c>
      <c r="I11" s="703">
        <f>huishoudens!H8</f>
        <v>0</v>
      </c>
      <c r="J11" s="703">
        <f>huishoudens!I8</f>
        <v>0</v>
      </c>
      <c r="K11" s="703">
        <f>huishoudens!J8</f>
        <v>558.55923314072811</v>
      </c>
      <c r="L11" s="703">
        <f>huishoudens!K8</f>
        <v>0</v>
      </c>
      <c r="M11" s="703">
        <f>huishoudens!L8</f>
        <v>0</v>
      </c>
      <c r="N11" s="703">
        <f>huishoudens!M8</f>
        <v>0</v>
      </c>
      <c r="O11" s="703">
        <f>huishoudens!N8</f>
        <v>10275.831530162397</v>
      </c>
      <c r="P11" s="703">
        <f>huishoudens!O8</f>
        <v>131.32000000000002</v>
      </c>
      <c r="Q11" s="704">
        <f>huishoudens!P8</f>
        <v>362.26666666666665</v>
      </c>
      <c r="R11" s="706">
        <f>SUM(C11:Q11)</f>
        <v>256571.01391870333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55098.357981501329</v>
      </c>
      <c r="D13" s="703">
        <f>industrie!C18</f>
        <v>0</v>
      </c>
      <c r="E13" s="703">
        <f>industrie!D18</f>
        <v>46684.432343930239</v>
      </c>
      <c r="F13" s="703">
        <f>industrie!E18</f>
        <v>645.42169816452861</v>
      </c>
      <c r="G13" s="703">
        <f>industrie!F18</f>
        <v>10052.297689405226</v>
      </c>
      <c r="H13" s="703">
        <f>industrie!G18</f>
        <v>0</v>
      </c>
      <c r="I13" s="703">
        <f>industrie!H18</f>
        <v>0</v>
      </c>
      <c r="J13" s="703">
        <f>industrie!I18</f>
        <v>0</v>
      </c>
      <c r="K13" s="703">
        <f>industrie!J18</f>
        <v>558.15323238478379</v>
      </c>
      <c r="L13" s="703">
        <f>industrie!K18</f>
        <v>0</v>
      </c>
      <c r="M13" s="703">
        <f>industrie!L18</f>
        <v>0</v>
      </c>
      <c r="N13" s="703">
        <f>industrie!M18</f>
        <v>0</v>
      </c>
      <c r="O13" s="703">
        <f>industrie!N18</f>
        <v>3049.1100449825158</v>
      </c>
      <c r="P13" s="703">
        <f>industrie!O18</f>
        <v>0</v>
      </c>
      <c r="Q13" s="704">
        <f>industrie!P18</f>
        <v>0</v>
      </c>
      <c r="R13" s="706">
        <f>SUM(C13:Q13)</f>
        <v>116087.77299036861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176409.66714932123</v>
      </c>
      <c r="D15" s="708">
        <f t="shared" ref="D15:Q15" ca="1" si="0">SUM(D9:D14)</f>
        <v>0</v>
      </c>
      <c r="E15" s="708">
        <f t="shared" ca="1" si="0"/>
        <v>294680.27992701455</v>
      </c>
      <c r="F15" s="708">
        <f t="shared" si="0"/>
        <v>5349.2039077743675</v>
      </c>
      <c r="G15" s="708">
        <f t="shared" ca="1" si="0"/>
        <v>22478.192282182794</v>
      </c>
      <c r="H15" s="708">
        <f t="shared" si="0"/>
        <v>0</v>
      </c>
      <c r="I15" s="708">
        <f t="shared" si="0"/>
        <v>0</v>
      </c>
      <c r="J15" s="708">
        <f t="shared" si="0"/>
        <v>0</v>
      </c>
      <c r="K15" s="708">
        <f t="shared" si="0"/>
        <v>1116.712465525512</v>
      </c>
      <c r="L15" s="708">
        <f t="shared" si="0"/>
        <v>0</v>
      </c>
      <c r="M15" s="708">
        <f t="shared" ca="1" si="0"/>
        <v>0</v>
      </c>
      <c r="N15" s="708">
        <f t="shared" si="0"/>
        <v>0</v>
      </c>
      <c r="O15" s="708">
        <f t="shared" ca="1" si="0"/>
        <v>17997.57463126571</v>
      </c>
      <c r="P15" s="708">
        <f t="shared" si="0"/>
        <v>131.32000000000002</v>
      </c>
      <c r="Q15" s="709">
        <f t="shared" si="0"/>
        <v>362.26666666666665</v>
      </c>
      <c r="R15" s="710">
        <f ca="1">SUM(R9:R14)</f>
        <v>518525.21702975087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4934.9032955591656</v>
      </c>
      <c r="I18" s="703">
        <f>transport!H54</f>
        <v>0</v>
      </c>
      <c r="J18" s="703">
        <f>transport!I54</f>
        <v>0</v>
      </c>
      <c r="K18" s="703">
        <f>transport!J54</f>
        <v>0</v>
      </c>
      <c r="L18" s="703">
        <f>transport!K54</f>
        <v>0</v>
      </c>
      <c r="M18" s="703">
        <f>transport!L54</f>
        <v>0</v>
      </c>
      <c r="N18" s="703">
        <f>transport!M54</f>
        <v>216.69974434019443</v>
      </c>
      <c r="O18" s="703">
        <f>transport!N54</f>
        <v>0</v>
      </c>
      <c r="P18" s="703">
        <f>transport!O54</f>
        <v>0</v>
      </c>
      <c r="Q18" s="704">
        <f>transport!P54</f>
        <v>0</v>
      </c>
      <c r="R18" s="706">
        <f>SUM(C18:Q18)</f>
        <v>5151.6030398993598</v>
      </c>
      <c r="S18" s="68"/>
    </row>
    <row r="19" spans="1:19" s="458" customFormat="1" ht="15" thickBot="1">
      <c r="A19" s="859" t="s">
        <v>307</v>
      </c>
      <c r="B19" s="864"/>
      <c r="C19" s="712">
        <f>transport!B14</f>
        <v>4.058244408623592</v>
      </c>
      <c r="D19" s="712">
        <f>transport!C14</f>
        <v>0</v>
      </c>
      <c r="E19" s="712">
        <f>transport!D14</f>
        <v>10.608685901140433</v>
      </c>
      <c r="F19" s="712">
        <f>transport!E14</f>
        <v>621.10310323230635</v>
      </c>
      <c r="G19" s="712">
        <f>transport!F14</f>
        <v>0</v>
      </c>
      <c r="H19" s="712">
        <f>transport!G14</f>
        <v>142730.35068159542</v>
      </c>
      <c r="I19" s="712">
        <f>transport!H14</f>
        <v>23694.761843523724</v>
      </c>
      <c r="J19" s="712">
        <f>transport!I14</f>
        <v>0</v>
      </c>
      <c r="K19" s="712">
        <f>transport!J14</f>
        <v>0</v>
      </c>
      <c r="L19" s="712">
        <f>transport!K14</f>
        <v>0</v>
      </c>
      <c r="M19" s="712">
        <f>transport!L14</f>
        <v>0</v>
      </c>
      <c r="N19" s="712">
        <f>transport!M14</f>
        <v>7439.7121707668748</v>
      </c>
      <c r="O19" s="712">
        <f>transport!N14</f>
        <v>0</v>
      </c>
      <c r="P19" s="712">
        <f>transport!O14</f>
        <v>0</v>
      </c>
      <c r="Q19" s="713">
        <f>transport!P14</f>
        <v>0</v>
      </c>
      <c r="R19" s="714">
        <f>SUM(C19:Q19)</f>
        <v>174500.59472942809</v>
      </c>
      <c r="S19" s="68"/>
    </row>
    <row r="20" spans="1:19" s="458" customFormat="1" ht="15.75" thickBot="1">
      <c r="A20" s="715" t="s">
        <v>230</v>
      </c>
      <c r="B20" s="867"/>
      <c r="C20" s="862">
        <f>SUM(C17:C19)</f>
        <v>4.058244408623592</v>
      </c>
      <c r="D20" s="716">
        <f t="shared" ref="D20:R20" si="1">SUM(D17:D19)</f>
        <v>0</v>
      </c>
      <c r="E20" s="716">
        <f t="shared" si="1"/>
        <v>10.608685901140433</v>
      </c>
      <c r="F20" s="716">
        <f t="shared" si="1"/>
        <v>621.10310323230635</v>
      </c>
      <c r="G20" s="716">
        <f t="shared" si="1"/>
        <v>0</v>
      </c>
      <c r="H20" s="716">
        <f t="shared" si="1"/>
        <v>147665.25397715459</v>
      </c>
      <c r="I20" s="716">
        <f t="shared" si="1"/>
        <v>23694.761843523724</v>
      </c>
      <c r="J20" s="716">
        <f t="shared" si="1"/>
        <v>0</v>
      </c>
      <c r="K20" s="716">
        <f t="shared" si="1"/>
        <v>0</v>
      </c>
      <c r="L20" s="716">
        <f t="shared" si="1"/>
        <v>0</v>
      </c>
      <c r="M20" s="716">
        <f t="shared" si="1"/>
        <v>0</v>
      </c>
      <c r="N20" s="716">
        <f t="shared" si="1"/>
        <v>7656.411915107069</v>
      </c>
      <c r="O20" s="716">
        <f t="shared" si="1"/>
        <v>0</v>
      </c>
      <c r="P20" s="716">
        <f t="shared" si="1"/>
        <v>0</v>
      </c>
      <c r="Q20" s="717">
        <f t="shared" si="1"/>
        <v>0</v>
      </c>
      <c r="R20" s="718">
        <f t="shared" si="1"/>
        <v>179652.19776932744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3474.8780349655162</v>
      </c>
      <c r="D22" s="712">
        <f>+landbouw!C8</f>
        <v>92120.78571428571</v>
      </c>
      <c r="E22" s="712">
        <f>+landbouw!D8</f>
        <v>27656.018994899146</v>
      </c>
      <c r="F22" s="712">
        <f>+landbouw!E8</f>
        <v>32.735679334032227</v>
      </c>
      <c r="G22" s="712">
        <f>+landbouw!F8</f>
        <v>3847.1802388335564</v>
      </c>
      <c r="H22" s="712">
        <f>+landbouw!G8</f>
        <v>0</v>
      </c>
      <c r="I22" s="712">
        <f>+landbouw!H8</f>
        <v>0</v>
      </c>
      <c r="J22" s="712">
        <f>+landbouw!I8</f>
        <v>0</v>
      </c>
      <c r="K22" s="712">
        <f>+landbouw!J8</f>
        <v>429.85931472874972</v>
      </c>
      <c r="L22" s="712">
        <f>+landbouw!K8</f>
        <v>0</v>
      </c>
      <c r="M22" s="712">
        <f>+landbouw!L8</f>
        <v>0</v>
      </c>
      <c r="N22" s="712">
        <f>+landbouw!M8</f>
        <v>0</v>
      </c>
      <c r="O22" s="712">
        <f>+landbouw!N8</f>
        <v>0</v>
      </c>
      <c r="P22" s="712">
        <f>+landbouw!O8</f>
        <v>0</v>
      </c>
      <c r="Q22" s="713">
        <f>+landbouw!P8</f>
        <v>0</v>
      </c>
      <c r="R22" s="714">
        <f>SUM(C22:Q22)</f>
        <v>127561.45797704671</v>
      </c>
      <c r="S22" s="68"/>
    </row>
    <row r="23" spans="1:19" s="458" customFormat="1" ht="17.25" thickTop="1" thickBot="1">
      <c r="A23" s="719" t="s">
        <v>116</v>
      </c>
      <c r="B23" s="853"/>
      <c r="C23" s="720">
        <f ca="1">C20+C15+C22</f>
        <v>179888.60342869538</v>
      </c>
      <c r="D23" s="720">
        <f t="shared" ref="D23:Q23" ca="1" si="2">D20+D15+D22</f>
        <v>92120.78571428571</v>
      </c>
      <c r="E23" s="720">
        <f t="shared" ca="1" si="2"/>
        <v>322346.90760781488</v>
      </c>
      <c r="F23" s="720">
        <f t="shared" si="2"/>
        <v>6003.042690340706</v>
      </c>
      <c r="G23" s="720">
        <f t="shared" ca="1" si="2"/>
        <v>26325.37252101635</v>
      </c>
      <c r="H23" s="720">
        <f t="shared" si="2"/>
        <v>147665.25397715459</v>
      </c>
      <c r="I23" s="720">
        <f t="shared" si="2"/>
        <v>23694.761843523724</v>
      </c>
      <c r="J23" s="720">
        <f t="shared" si="2"/>
        <v>0</v>
      </c>
      <c r="K23" s="720">
        <f t="shared" si="2"/>
        <v>1546.5717802542617</v>
      </c>
      <c r="L23" s="720">
        <f t="shared" si="2"/>
        <v>0</v>
      </c>
      <c r="M23" s="720">
        <f t="shared" ca="1" si="2"/>
        <v>0</v>
      </c>
      <c r="N23" s="720">
        <f t="shared" si="2"/>
        <v>7656.411915107069</v>
      </c>
      <c r="O23" s="720">
        <f t="shared" ca="1" si="2"/>
        <v>17997.57463126571</v>
      </c>
      <c r="P23" s="720">
        <f t="shared" si="2"/>
        <v>131.32000000000002</v>
      </c>
      <c r="Q23" s="721">
        <f t="shared" si="2"/>
        <v>362.26666666666665</v>
      </c>
      <c r="R23" s="722">
        <f ca="1">R20+R15+R22</f>
        <v>825738.87277612509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11312.427911348361</v>
      </c>
      <c r="D36" s="703">
        <f ca="1">tertiair!C20</f>
        <v>0</v>
      </c>
      <c r="E36" s="703">
        <f ca="1">tertiair!D20</f>
        <v>13701.792391856841</v>
      </c>
      <c r="F36" s="703">
        <f>tertiair!E20</f>
        <v>126.92544023697148</v>
      </c>
      <c r="G36" s="703">
        <f ca="1">tertiair!F20</f>
        <v>3317.7138562716109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28458.859599713782</v>
      </c>
    </row>
    <row r="37" spans="1:18">
      <c r="A37" s="874" t="s">
        <v>225</v>
      </c>
      <c r="B37" s="881"/>
      <c r="C37" s="703">
        <f ca="1">huishoudens!B12</f>
        <v>11416.431481135029</v>
      </c>
      <c r="D37" s="703">
        <f ca="1">huishoudens!C12</f>
        <v>0</v>
      </c>
      <c r="E37" s="703">
        <f>huishoudens!D12</f>
        <v>36393.368819926196</v>
      </c>
      <c r="F37" s="703">
        <f>huishoudens!E12</f>
        <v>940.83312134446203</v>
      </c>
      <c r="G37" s="703">
        <f>huishoudens!F12</f>
        <v>0</v>
      </c>
      <c r="H37" s="703">
        <f>huishoudens!G12</f>
        <v>0</v>
      </c>
      <c r="I37" s="703">
        <f>huishoudens!H12</f>
        <v>0</v>
      </c>
      <c r="J37" s="703">
        <f>huishoudens!I12</f>
        <v>0</v>
      </c>
      <c r="K37" s="703">
        <f>huishoudens!J12</f>
        <v>197.72996853181775</v>
      </c>
      <c r="L37" s="703">
        <f>huishoudens!K12</f>
        <v>0</v>
      </c>
      <c r="M37" s="703">
        <f>huishoudens!L12</f>
        <v>0</v>
      </c>
      <c r="N37" s="703">
        <f>huishoudens!M12</f>
        <v>0</v>
      </c>
      <c r="O37" s="703">
        <f>huishoudens!N12</f>
        <v>0</v>
      </c>
      <c r="P37" s="703">
        <f>huishoudens!O12</f>
        <v>0</v>
      </c>
      <c r="Q37" s="813">
        <f>huishoudens!P12</f>
        <v>0</v>
      </c>
      <c r="R37" s="906">
        <f ca="1">SUM(C37:Q37)</f>
        <v>48948.363390937506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10323.215864283662</v>
      </c>
      <c r="D39" s="703">
        <f ca="1">industrie!C22</f>
        <v>0</v>
      </c>
      <c r="E39" s="703">
        <f>industrie!D22</f>
        <v>9430.2553334739096</v>
      </c>
      <c r="F39" s="703">
        <f>industrie!E22</f>
        <v>146.51072548334801</v>
      </c>
      <c r="G39" s="703">
        <f>industrie!F22</f>
        <v>2683.9634830711957</v>
      </c>
      <c r="H39" s="703">
        <f>industrie!G22</f>
        <v>0</v>
      </c>
      <c r="I39" s="703">
        <f>industrie!H22</f>
        <v>0</v>
      </c>
      <c r="J39" s="703">
        <f>industrie!I22</f>
        <v>0</v>
      </c>
      <c r="K39" s="703">
        <f>industrie!J22</f>
        <v>197.58624426421346</v>
      </c>
      <c r="L39" s="703">
        <f>industrie!K22</f>
        <v>0</v>
      </c>
      <c r="M39" s="703">
        <f>industrie!L22</f>
        <v>0</v>
      </c>
      <c r="N39" s="703">
        <f>industrie!M22</f>
        <v>0</v>
      </c>
      <c r="O39" s="703">
        <f>industrie!N22</f>
        <v>0</v>
      </c>
      <c r="P39" s="703">
        <f>industrie!O22</f>
        <v>0</v>
      </c>
      <c r="Q39" s="813">
        <f>industrie!P22</f>
        <v>0</v>
      </c>
      <c r="R39" s="907">
        <f ca="1">SUM(C39:Q39)</f>
        <v>22781.531650576329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33052.075256767057</v>
      </c>
      <c r="D41" s="748">
        <f t="shared" ref="D41:R41" ca="1" si="4">SUM(D35:D40)</f>
        <v>0</v>
      </c>
      <c r="E41" s="748">
        <f t="shared" ca="1" si="4"/>
        <v>59525.416545256943</v>
      </c>
      <c r="F41" s="748">
        <f t="shared" si="4"/>
        <v>1214.2692870647816</v>
      </c>
      <c r="G41" s="748">
        <f t="shared" ca="1" si="4"/>
        <v>6001.6773393428066</v>
      </c>
      <c r="H41" s="748">
        <f t="shared" si="4"/>
        <v>0</v>
      </c>
      <c r="I41" s="748">
        <f t="shared" si="4"/>
        <v>0</v>
      </c>
      <c r="J41" s="748">
        <f t="shared" si="4"/>
        <v>0</v>
      </c>
      <c r="K41" s="748">
        <f t="shared" si="4"/>
        <v>395.31621279603121</v>
      </c>
      <c r="L41" s="748">
        <f t="shared" si="4"/>
        <v>0</v>
      </c>
      <c r="M41" s="748">
        <f t="shared" ca="1" si="4"/>
        <v>0</v>
      </c>
      <c r="N41" s="748">
        <f t="shared" si="4"/>
        <v>0</v>
      </c>
      <c r="O41" s="748">
        <f t="shared" ca="1" si="4"/>
        <v>0</v>
      </c>
      <c r="P41" s="748">
        <f t="shared" si="4"/>
        <v>0</v>
      </c>
      <c r="Q41" s="749">
        <f t="shared" si="4"/>
        <v>0</v>
      </c>
      <c r="R41" s="750">
        <f t="shared" ca="1" si="4"/>
        <v>100188.75464122763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1317.6191799142973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1317.6191799142973</v>
      </c>
    </row>
    <row r="45" spans="1:18" ht="15" thickBot="1">
      <c r="A45" s="877" t="s">
        <v>307</v>
      </c>
      <c r="B45" s="887"/>
      <c r="C45" s="712">
        <f ca="1">transport!B18</f>
        <v>0.76035175266582411</v>
      </c>
      <c r="D45" s="712">
        <f>transport!C18</f>
        <v>0</v>
      </c>
      <c r="E45" s="712">
        <f>transport!D18</f>
        <v>2.1429545520303677</v>
      </c>
      <c r="F45" s="712">
        <f>transport!E18</f>
        <v>140.99040443373354</v>
      </c>
      <c r="G45" s="712">
        <f>transport!F18</f>
        <v>0</v>
      </c>
      <c r="H45" s="712">
        <f>transport!G18</f>
        <v>38109.003631985979</v>
      </c>
      <c r="I45" s="712">
        <f>transport!H18</f>
        <v>5899.9956990374076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44152.89304176181</v>
      </c>
    </row>
    <row r="46" spans="1:18" ht="15.75" thickBot="1">
      <c r="A46" s="875" t="s">
        <v>230</v>
      </c>
      <c r="B46" s="888"/>
      <c r="C46" s="748">
        <f t="shared" ref="C46:R46" ca="1" si="5">SUM(C43:C45)</f>
        <v>0.76035175266582411</v>
      </c>
      <c r="D46" s="748">
        <f t="shared" ca="1" si="5"/>
        <v>0</v>
      </c>
      <c r="E46" s="748">
        <f t="shared" si="5"/>
        <v>2.1429545520303677</v>
      </c>
      <c r="F46" s="748">
        <f t="shared" si="5"/>
        <v>140.99040443373354</v>
      </c>
      <c r="G46" s="748">
        <f t="shared" si="5"/>
        <v>0</v>
      </c>
      <c r="H46" s="748">
        <f t="shared" si="5"/>
        <v>39426.622811900277</v>
      </c>
      <c r="I46" s="748">
        <f t="shared" si="5"/>
        <v>5899.9956990374076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45470.512221676108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651.05236110757528</v>
      </c>
      <c r="D48" s="703">
        <f ca="1">+landbouw!C12</f>
        <v>16855.1537891915</v>
      </c>
      <c r="E48" s="703">
        <f>+landbouw!D12</f>
        <v>5586.5158369696283</v>
      </c>
      <c r="F48" s="703">
        <f>+landbouw!E12</f>
        <v>7.4309992088253161</v>
      </c>
      <c r="G48" s="703">
        <f>+landbouw!F12</f>
        <v>1027.1971237685595</v>
      </c>
      <c r="H48" s="703">
        <f>+landbouw!G12</f>
        <v>0</v>
      </c>
      <c r="I48" s="703">
        <f>+landbouw!H12</f>
        <v>0</v>
      </c>
      <c r="J48" s="703">
        <f>+landbouw!I12</f>
        <v>0</v>
      </c>
      <c r="K48" s="703">
        <f>+landbouw!J12</f>
        <v>152.17019741397741</v>
      </c>
      <c r="L48" s="703">
        <f>+landbouw!K12</f>
        <v>0</v>
      </c>
      <c r="M48" s="703">
        <f>+landbouw!L12</f>
        <v>0</v>
      </c>
      <c r="N48" s="703">
        <f>+landbouw!M12</f>
        <v>0</v>
      </c>
      <c r="O48" s="703">
        <f>+landbouw!N12</f>
        <v>0</v>
      </c>
      <c r="P48" s="703">
        <f>+landbouw!O12</f>
        <v>0</v>
      </c>
      <c r="Q48" s="704">
        <f>+landbouw!P12</f>
        <v>0</v>
      </c>
      <c r="R48" s="746">
        <f ca="1">SUM(C48:Q48)</f>
        <v>24279.520307660066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33703.8879696273</v>
      </c>
      <c r="D53" s="758">
        <f t="shared" ref="D53:Q53" ca="1" si="6">D41+D46+D48</f>
        <v>16855.1537891915</v>
      </c>
      <c r="E53" s="758">
        <f t="shared" ca="1" si="6"/>
        <v>65114.075336778602</v>
      </c>
      <c r="F53" s="758">
        <f t="shared" si="6"/>
        <v>1362.6906907073405</v>
      </c>
      <c r="G53" s="758">
        <f t="shared" ca="1" si="6"/>
        <v>7028.8744631113659</v>
      </c>
      <c r="H53" s="758">
        <f t="shared" si="6"/>
        <v>39426.622811900277</v>
      </c>
      <c r="I53" s="758">
        <f t="shared" si="6"/>
        <v>5899.9956990374076</v>
      </c>
      <c r="J53" s="758">
        <f t="shared" si="6"/>
        <v>0</v>
      </c>
      <c r="K53" s="758">
        <f t="shared" si="6"/>
        <v>547.48641021000867</v>
      </c>
      <c r="L53" s="758">
        <f t="shared" si="6"/>
        <v>0</v>
      </c>
      <c r="M53" s="758">
        <f t="shared" ca="1" si="6"/>
        <v>0</v>
      </c>
      <c r="N53" s="758">
        <f t="shared" si="6"/>
        <v>0</v>
      </c>
      <c r="O53" s="758">
        <f t="shared" ca="1" si="6"/>
        <v>0</v>
      </c>
      <c r="P53" s="758">
        <f>P41+P46+P48</f>
        <v>0</v>
      </c>
      <c r="Q53" s="759">
        <f t="shared" si="6"/>
        <v>0</v>
      </c>
      <c r="R53" s="760">
        <f ca="1">R41+R46+R48</f>
        <v>169938.7871705638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0.18735977336655971</v>
      </c>
      <c r="D55" s="824">
        <f t="shared" ca="1" si="7"/>
        <v>0.1829679768632029</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7791.745761124911</v>
      </c>
      <c r="C66" s="780">
        <f>'lokale energieproductie'!B6</f>
        <v>7791.745761124911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67032</v>
      </c>
      <c r="C67" s="779">
        <f>B67*IFERROR(SUM(J67:L67)/SUM(D67:M67),0)</f>
        <v>16286.202980155193</v>
      </c>
      <c r="D67" s="811">
        <f>'lokale energieproductie'!C7</f>
        <v>56545.245121601474</v>
      </c>
      <c r="E67" s="812">
        <f>'lokale energieproductie'!D7</f>
        <v>0</v>
      </c>
      <c r="F67" s="812">
        <f>'lokale energieproductie'!E7</f>
        <v>3155.6925488041816</v>
      </c>
      <c r="G67" s="812">
        <f>'lokale energieproductie'!F7</f>
        <v>0</v>
      </c>
      <c r="H67" s="812">
        <f>'lokale energieproductie'!G7</f>
        <v>0</v>
      </c>
      <c r="I67" s="812">
        <f>'lokale energieproductie'!H7</f>
        <v>0</v>
      </c>
      <c r="J67" s="812">
        <f>'lokale energieproductie'!I7</f>
        <v>19160.238800182575</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12264.709425094214</v>
      </c>
      <c r="P67" s="911">
        <v>0</v>
      </c>
      <c r="Q67" s="770"/>
      <c r="R67" s="727"/>
    </row>
    <row r="68" spans="1:18" ht="30.75" thickBot="1">
      <c r="A68" s="786" t="s">
        <v>353</v>
      </c>
      <c r="B68" s="779">
        <f>'lokale energieproductie'!B8</f>
        <v>8055</v>
      </c>
      <c r="C68" s="779">
        <f>B68*IFERROR(SUM(J68:L68)/SUM(D68:M68),0)</f>
        <v>8055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20137.5</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82878.745761124912</v>
      </c>
      <c r="C69" s="788">
        <f>SUM(C64:C68)</f>
        <v>32132.948741280103</v>
      </c>
      <c r="D69" s="789">
        <f t="shared" ref="D69:M69" si="8">SUM(D67:D68)</f>
        <v>56545.245121601474</v>
      </c>
      <c r="E69" s="789">
        <f t="shared" si="8"/>
        <v>0</v>
      </c>
      <c r="F69" s="789">
        <f t="shared" si="8"/>
        <v>3155.6925488041816</v>
      </c>
      <c r="G69" s="789">
        <f t="shared" si="8"/>
        <v>0</v>
      </c>
      <c r="H69" s="789">
        <f t="shared" si="8"/>
        <v>0</v>
      </c>
      <c r="I69" s="789">
        <f t="shared" si="8"/>
        <v>0</v>
      </c>
      <c r="J69" s="789">
        <f t="shared" si="8"/>
        <v>39297.738800182575</v>
      </c>
      <c r="K69" s="789">
        <f t="shared" si="8"/>
        <v>0</v>
      </c>
      <c r="L69" s="789">
        <f t="shared" si="8"/>
        <v>0</v>
      </c>
      <c r="M69" s="919">
        <f t="shared" si="8"/>
        <v>0</v>
      </c>
      <c r="N69" s="790">
        <v>0</v>
      </c>
      <c r="O69" s="790">
        <f>SUM(O67:O68)</f>
        <v>12264.709425094214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92120.78571428571</v>
      </c>
      <c r="C78" s="802">
        <f>B78*IFERROR(SUM(I78:L78)/SUM(D78:M78),0)</f>
        <v>22381.814876987668</v>
      </c>
      <c r="D78" s="817">
        <f>'lokale energieproductie'!C16</f>
        <v>77709.040592684236</v>
      </c>
      <c r="E78" s="817">
        <f>'lokale energieproductie'!D16</f>
        <v>0</v>
      </c>
      <c r="F78" s="817">
        <f>'lokale energieproductie'!E16</f>
        <v>4336.8074511958184</v>
      </c>
      <c r="G78" s="817">
        <f>'lokale energieproductie'!F16</f>
        <v>0</v>
      </c>
      <c r="H78" s="817">
        <f>'lokale energieproductie'!G16</f>
        <v>0</v>
      </c>
      <c r="I78" s="817">
        <f>'lokale energieproductie'!H16</f>
        <v>0</v>
      </c>
      <c r="J78" s="817">
        <f>'lokale energieproductie'!I16</f>
        <v>26331.546914103143</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16855.1537891915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92120.78571428571</v>
      </c>
      <c r="C81" s="788">
        <f>SUM(C78:C80)</f>
        <v>22381.814876987668</v>
      </c>
      <c r="D81" s="788">
        <f t="shared" ref="D81:P81" si="9">SUM(D78:D80)</f>
        <v>77709.040592684236</v>
      </c>
      <c r="E81" s="788">
        <f t="shared" si="9"/>
        <v>0</v>
      </c>
      <c r="F81" s="788">
        <f t="shared" si="9"/>
        <v>4336.8074511958184</v>
      </c>
      <c r="G81" s="788">
        <f t="shared" si="9"/>
        <v>0</v>
      </c>
      <c r="H81" s="788">
        <f t="shared" si="9"/>
        <v>0</v>
      </c>
      <c r="I81" s="788">
        <f t="shared" si="9"/>
        <v>0</v>
      </c>
      <c r="J81" s="788">
        <f t="shared" si="9"/>
        <v>26331.546914103143</v>
      </c>
      <c r="K81" s="788">
        <f t="shared" si="9"/>
        <v>0</v>
      </c>
      <c r="L81" s="788">
        <f t="shared" si="9"/>
        <v>0</v>
      </c>
      <c r="M81" s="788">
        <f t="shared" si="9"/>
        <v>0</v>
      </c>
      <c r="N81" s="788">
        <v>0</v>
      </c>
      <c r="O81" s="788">
        <f>SUM(O78:O80)</f>
        <v>16855.1537891915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60933.20500980418</v>
      </c>
      <c r="C4" s="462">
        <f>huishoudens!C8</f>
        <v>0</v>
      </c>
      <c r="D4" s="462">
        <f>huishoudens!D8</f>
        <v>180165.19217785244</v>
      </c>
      <c r="E4" s="462">
        <f>huishoudens!E8</f>
        <v>4144.6393010769252</v>
      </c>
      <c r="F4" s="462">
        <f>huishoudens!F8</f>
        <v>0</v>
      </c>
      <c r="G4" s="462">
        <f>huishoudens!G8</f>
        <v>0</v>
      </c>
      <c r="H4" s="462">
        <f>huishoudens!H8</f>
        <v>0</v>
      </c>
      <c r="I4" s="462">
        <f>huishoudens!I8</f>
        <v>0</v>
      </c>
      <c r="J4" s="462">
        <f>huishoudens!J8</f>
        <v>558.55923314072811</v>
      </c>
      <c r="K4" s="462">
        <f>huishoudens!K8</f>
        <v>0</v>
      </c>
      <c r="L4" s="462">
        <f>huishoudens!L8</f>
        <v>0</v>
      </c>
      <c r="M4" s="462">
        <f>huishoudens!M8</f>
        <v>0</v>
      </c>
      <c r="N4" s="462">
        <f>huishoudens!N8</f>
        <v>10275.831530162397</v>
      </c>
      <c r="O4" s="462">
        <f>huishoudens!O8</f>
        <v>131.32000000000002</v>
      </c>
      <c r="P4" s="463">
        <f>huishoudens!P8</f>
        <v>362.26666666666665</v>
      </c>
      <c r="Q4" s="464">
        <f>SUM(B4:P4)</f>
        <v>256571.01391870333</v>
      </c>
    </row>
    <row r="5" spans="1:17">
      <c r="A5" s="461" t="s">
        <v>156</v>
      </c>
      <c r="B5" s="462">
        <f ca="1">tertiair!B16</f>
        <v>58085.529158015743</v>
      </c>
      <c r="C5" s="462">
        <f ca="1">tertiair!C16</f>
        <v>0</v>
      </c>
      <c r="D5" s="462">
        <f ca="1">tertiair!D16</f>
        <v>67830.655405231882</v>
      </c>
      <c r="E5" s="462">
        <f>tertiair!E16</f>
        <v>559.14290853291402</v>
      </c>
      <c r="F5" s="462">
        <f ca="1">tertiair!F16</f>
        <v>12425.894592777568</v>
      </c>
      <c r="G5" s="462">
        <f>tertiair!G16</f>
        <v>0</v>
      </c>
      <c r="H5" s="462">
        <f>tertiair!H16</f>
        <v>0</v>
      </c>
      <c r="I5" s="462">
        <f>tertiair!I16</f>
        <v>0</v>
      </c>
      <c r="J5" s="462">
        <f>tertiair!J16</f>
        <v>0</v>
      </c>
      <c r="K5" s="462">
        <f>tertiair!K16</f>
        <v>0</v>
      </c>
      <c r="L5" s="462">
        <f ca="1">tertiair!L16</f>
        <v>0</v>
      </c>
      <c r="M5" s="462">
        <f>tertiair!M16</f>
        <v>0</v>
      </c>
      <c r="N5" s="462">
        <f ca="1">tertiair!N16</f>
        <v>4672.6330561207978</v>
      </c>
      <c r="O5" s="462">
        <f>tertiair!O16</f>
        <v>0</v>
      </c>
      <c r="P5" s="463">
        <f>tertiair!P16</f>
        <v>0</v>
      </c>
      <c r="Q5" s="461">
        <f t="shared" ref="Q5:Q13" ca="1" si="0">SUM(B5:P5)</f>
        <v>143573.85512067893</v>
      </c>
    </row>
    <row r="6" spans="1:17">
      <c r="A6" s="461" t="s">
        <v>194</v>
      </c>
      <c r="B6" s="462">
        <f>'openbare verlichting'!B8</f>
        <v>2292.5749999999998</v>
      </c>
      <c r="C6" s="462"/>
      <c r="D6" s="462"/>
      <c r="E6" s="462"/>
      <c r="F6" s="462"/>
      <c r="G6" s="462"/>
      <c r="H6" s="462"/>
      <c r="I6" s="462"/>
      <c r="J6" s="462"/>
      <c r="K6" s="462"/>
      <c r="L6" s="462"/>
      <c r="M6" s="462"/>
      <c r="N6" s="462"/>
      <c r="O6" s="462"/>
      <c r="P6" s="463"/>
      <c r="Q6" s="461">
        <f t="shared" si="0"/>
        <v>2292.5749999999998</v>
      </c>
    </row>
    <row r="7" spans="1:17">
      <c r="A7" s="461" t="s">
        <v>112</v>
      </c>
      <c r="B7" s="462">
        <f>landbouw!B8</f>
        <v>3474.8780349655162</v>
      </c>
      <c r="C7" s="462">
        <f>landbouw!C8</f>
        <v>92120.78571428571</v>
      </c>
      <c r="D7" s="462">
        <f>landbouw!D8</f>
        <v>27656.018994899146</v>
      </c>
      <c r="E7" s="462">
        <f>landbouw!E8</f>
        <v>32.735679334032227</v>
      </c>
      <c r="F7" s="462">
        <f>landbouw!F8</f>
        <v>3847.1802388335564</v>
      </c>
      <c r="G7" s="462">
        <f>landbouw!G8</f>
        <v>0</v>
      </c>
      <c r="H7" s="462">
        <f>landbouw!H8</f>
        <v>0</v>
      </c>
      <c r="I7" s="462">
        <f>landbouw!I8</f>
        <v>0</v>
      </c>
      <c r="J7" s="462">
        <f>landbouw!J8</f>
        <v>429.85931472874972</v>
      </c>
      <c r="K7" s="462">
        <f>landbouw!K8</f>
        <v>0</v>
      </c>
      <c r="L7" s="462">
        <f>landbouw!L8</f>
        <v>0</v>
      </c>
      <c r="M7" s="462">
        <f>landbouw!M8</f>
        <v>0</v>
      </c>
      <c r="N7" s="462">
        <f>landbouw!N8</f>
        <v>0</v>
      </c>
      <c r="O7" s="462">
        <f>landbouw!O8</f>
        <v>0</v>
      </c>
      <c r="P7" s="463">
        <f>landbouw!P8</f>
        <v>0</v>
      </c>
      <c r="Q7" s="461">
        <f t="shared" si="0"/>
        <v>127561.45797704671</v>
      </c>
    </row>
    <row r="8" spans="1:17">
      <c r="A8" s="461" t="s">
        <v>685</v>
      </c>
      <c r="B8" s="462">
        <f>industrie!B18</f>
        <v>55098.357981501329</v>
      </c>
      <c r="C8" s="462">
        <f>industrie!C18</f>
        <v>0</v>
      </c>
      <c r="D8" s="462">
        <f>industrie!D18</f>
        <v>46684.432343930239</v>
      </c>
      <c r="E8" s="462">
        <f>industrie!E18</f>
        <v>645.42169816452861</v>
      </c>
      <c r="F8" s="462">
        <f>industrie!F18</f>
        <v>10052.297689405226</v>
      </c>
      <c r="G8" s="462">
        <f>industrie!G18</f>
        <v>0</v>
      </c>
      <c r="H8" s="462">
        <f>industrie!H18</f>
        <v>0</v>
      </c>
      <c r="I8" s="462">
        <f>industrie!I18</f>
        <v>0</v>
      </c>
      <c r="J8" s="462">
        <f>industrie!J18</f>
        <v>558.15323238478379</v>
      </c>
      <c r="K8" s="462">
        <f>industrie!K18</f>
        <v>0</v>
      </c>
      <c r="L8" s="462">
        <f>industrie!L18</f>
        <v>0</v>
      </c>
      <c r="M8" s="462">
        <f>industrie!M18</f>
        <v>0</v>
      </c>
      <c r="N8" s="462">
        <f>industrie!N18</f>
        <v>3049.1100449825158</v>
      </c>
      <c r="O8" s="462">
        <f>industrie!O18</f>
        <v>0</v>
      </c>
      <c r="P8" s="463">
        <f>industrie!P18</f>
        <v>0</v>
      </c>
      <c r="Q8" s="461">
        <f t="shared" si="0"/>
        <v>116087.77299036861</v>
      </c>
    </row>
    <row r="9" spans="1:17" s="467" customFormat="1">
      <c r="A9" s="465" t="s">
        <v>579</v>
      </c>
      <c r="B9" s="466">
        <f>transport!B14</f>
        <v>4.058244408623592</v>
      </c>
      <c r="C9" s="466">
        <f>transport!C14</f>
        <v>0</v>
      </c>
      <c r="D9" s="466">
        <f>transport!D14</f>
        <v>10.608685901140433</v>
      </c>
      <c r="E9" s="466">
        <f>transport!E14</f>
        <v>621.10310323230635</v>
      </c>
      <c r="F9" s="466">
        <f>transport!F14</f>
        <v>0</v>
      </c>
      <c r="G9" s="466">
        <f>transport!G14</f>
        <v>142730.35068159542</v>
      </c>
      <c r="H9" s="466">
        <f>transport!H14</f>
        <v>23694.761843523724</v>
      </c>
      <c r="I9" s="466">
        <f>transport!I14</f>
        <v>0</v>
      </c>
      <c r="J9" s="466">
        <f>transport!J14</f>
        <v>0</v>
      </c>
      <c r="K9" s="466">
        <f>transport!K14</f>
        <v>0</v>
      </c>
      <c r="L9" s="466">
        <f>transport!L14</f>
        <v>0</v>
      </c>
      <c r="M9" s="466">
        <f>transport!M14</f>
        <v>7439.7121707668748</v>
      </c>
      <c r="N9" s="466">
        <f>transport!N14</f>
        <v>0</v>
      </c>
      <c r="O9" s="466">
        <f>transport!O14</f>
        <v>0</v>
      </c>
      <c r="P9" s="466">
        <f>transport!P14</f>
        <v>0</v>
      </c>
      <c r="Q9" s="465">
        <f>SUM(B9:P9)</f>
        <v>174500.59472942809</v>
      </c>
    </row>
    <row r="10" spans="1:17">
      <c r="A10" s="461" t="s">
        <v>569</v>
      </c>
      <c r="B10" s="462">
        <f>transport!B54</f>
        <v>0</v>
      </c>
      <c r="C10" s="462">
        <f>transport!C54</f>
        <v>0</v>
      </c>
      <c r="D10" s="462">
        <f>transport!D54</f>
        <v>0</v>
      </c>
      <c r="E10" s="462">
        <f>transport!E54</f>
        <v>0</v>
      </c>
      <c r="F10" s="462">
        <f>transport!F54</f>
        <v>0</v>
      </c>
      <c r="G10" s="462">
        <f>transport!G54</f>
        <v>4934.9032955591656</v>
      </c>
      <c r="H10" s="462">
        <f>transport!H54</f>
        <v>0</v>
      </c>
      <c r="I10" s="462">
        <f>transport!I54</f>
        <v>0</v>
      </c>
      <c r="J10" s="462">
        <f>transport!J54</f>
        <v>0</v>
      </c>
      <c r="K10" s="462">
        <f>transport!K54</f>
        <v>0</v>
      </c>
      <c r="L10" s="462">
        <f>transport!L54</f>
        <v>0</v>
      </c>
      <c r="M10" s="462">
        <f>transport!M54</f>
        <v>216.69974434019443</v>
      </c>
      <c r="N10" s="462">
        <f>transport!N54</f>
        <v>0</v>
      </c>
      <c r="O10" s="462">
        <f>transport!O54</f>
        <v>0</v>
      </c>
      <c r="P10" s="463">
        <f>transport!P54</f>
        <v>0</v>
      </c>
      <c r="Q10" s="461">
        <f t="shared" si="0"/>
        <v>5151.6030398993598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179888.60342869541</v>
      </c>
      <c r="C14" s="472">
        <f t="shared" ref="C14:Q14" ca="1" si="1">SUM(C4:C13)</f>
        <v>92120.78571428571</v>
      </c>
      <c r="D14" s="472">
        <f t="shared" ca="1" si="1"/>
        <v>322346.90760781488</v>
      </c>
      <c r="E14" s="472">
        <f t="shared" si="1"/>
        <v>6003.042690340706</v>
      </c>
      <c r="F14" s="472">
        <f t="shared" ca="1" si="1"/>
        <v>26325.37252101635</v>
      </c>
      <c r="G14" s="472">
        <f t="shared" si="1"/>
        <v>147665.25397715459</v>
      </c>
      <c r="H14" s="472">
        <f t="shared" si="1"/>
        <v>23694.761843523724</v>
      </c>
      <c r="I14" s="472">
        <f t="shared" si="1"/>
        <v>0</v>
      </c>
      <c r="J14" s="472">
        <f t="shared" si="1"/>
        <v>1546.5717802542617</v>
      </c>
      <c r="K14" s="472">
        <f t="shared" si="1"/>
        <v>0</v>
      </c>
      <c r="L14" s="472">
        <f t="shared" ca="1" si="1"/>
        <v>0</v>
      </c>
      <c r="M14" s="472">
        <f t="shared" si="1"/>
        <v>7656.411915107069</v>
      </c>
      <c r="N14" s="472">
        <f t="shared" ca="1" si="1"/>
        <v>17997.57463126571</v>
      </c>
      <c r="O14" s="472">
        <f t="shared" si="1"/>
        <v>131.32000000000002</v>
      </c>
      <c r="P14" s="473">
        <f t="shared" si="1"/>
        <v>362.26666666666665</v>
      </c>
      <c r="Q14" s="473">
        <f t="shared" ca="1" si="1"/>
        <v>825738.87277612509</v>
      </c>
    </row>
    <row r="16" spans="1:17">
      <c r="A16" s="475" t="s">
        <v>574</v>
      </c>
      <c r="B16" s="829">
        <f ca="1">huishoudens!B10</f>
        <v>0.18735977336655965</v>
      </c>
      <c r="C16" s="829">
        <f ca="1">huishoudens!C10</f>
        <v>0.1829679768632029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11416.431481135029</v>
      </c>
      <c r="C21" s="462">
        <f t="shared" ref="C21:C30" ca="1" si="3">C4*$C$16</f>
        <v>0</v>
      </c>
      <c r="D21" s="462">
        <f t="shared" ref="D21:D30" si="4">D4*$D$16</f>
        <v>36393.368819926196</v>
      </c>
      <c r="E21" s="462">
        <f t="shared" ref="E21:E30" si="5">E4*$E$16</f>
        <v>940.83312134446203</v>
      </c>
      <c r="F21" s="462">
        <f t="shared" ref="F21:F30" si="6">F4*$F$16</f>
        <v>0</v>
      </c>
      <c r="G21" s="462">
        <f t="shared" ref="G21:G30" si="7">G4*$G$16</f>
        <v>0</v>
      </c>
      <c r="H21" s="462">
        <f t="shared" ref="H21:H30" si="8">H4*$H$16</f>
        <v>0</v>
      </c>
      <c r="I21" s="462">
        <f t="shared" ref="I21:I30" si="9">I4*$I$16</f>
        <v>0</v>
      </c>
      <c r="J21" s="462">
        <f t="shared" ref="J21:J30" si="10">J4*$J$16</f>
        <v>197.72996853181775</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48948.363390937506</v>
      </c>
    </row>
    <row r="22" spans="1:17">
      <c r="A22" s="461" t="s">
        <v>156</v>
      </c>
      <c r="B22" s="462">
        <f t="shared" ca="1" si="2"/>
        <v>10882.891578922521</v>
      </c>
      <c r="C22" s="462">
        <f t="shared" ca="1" si="3"/>
        <v>0</v>
      </c>
      <c r="D22" s="462">
        <f t="shared" ca="1" si="4"/>
        <v>13701.792391856841</v>
      </c>
      <c r="E22" s="462">
        <f t="shared" si="5"/>
        <v>126.92544023697148</v>
      </c>
      <c r="F22" s="462">
        <f t="shared" ca="1" si="6"/>
        <v>3317.7138562716109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28029.323267287942</v>
      </c>
    </row>
    <row r="23" spans="1:17">
      <c r="A23" s="461" t="s">
        <v>194</v>
      </c>
      <c r="B23" s="462">
        <f t="shared" ca="1" si="2"/>
        <v>429.53633242584044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429.53633242584044</v>
      </c>
    </row>
    <row r="24" spans="1:17">
      <c r="A24" s="461" t="s">
        <v>112</v>
      </c>
      <c r="B24" s="462">
        <f t="shared" ca="1" si="2"/>
        <v>651.05236110757528</v>
      </c>
      <c r="C24" s="462">
        <f t="shared" ca="1" si="3"/>
        <v>16855.1537891915</v>
      </c>
      <c r="D24" s="462">
        <f t="shared" si="4"/>
        <v>5586.5158369696283</v>
      </c>
      <c r="E24" s="462">
        <f t="shared" si="5"/>
        <v>7.4309992088253161</v>
      </c>
      <c r="F24" s="462">
        <f t="shared" si="6"/>
        <v>1027.1971237685595</v>
      </c>
      <c r="G24" s="462">
        <f t="shared" si="7"/>
        <v>0</v>
      </c>
      <c r="H24" s="462">
        <f t="shared" si="8"/>
        <v>0</v>
      </c>
      <c r="I24" s="462">
        <f t="shared" si="9"/>
        <v>0</v>
      </c>
      <c r="J24" s="462">
        <f t="shared" si="10"/>
        <v>152.17019741397741</v>
      </c>
      <c r="K24" s="462">
        <f t="shared" si="11"/>
        <v>0</v>
      </c>
      <c r="L24" s="462">
        <f t="shared" si="12"/>
        <v>0</v>
      </c>
      <c r="M24" s="462">
        <f t="shared" si="13"/>
        <v>0</v>
      </c>
      <c r="N24" s="462">
        <f t="shared" si="14"/>
        <v>0</v>
      </c>
      <c r="O24" s="462">
        <f t="shared" si="15"/>
        <v>0</v>
      </c>
      <c r="P24" s="463">
        <f t="shared" si="16"/>
        <v>0</v>
      </c>
      <c r="Q24" s="461">
        <f t="shared" ca="1" si="17"/>
        <v>24279.520307660066</v>
      </c>
    </row>
    <row r="25" spans="1:17">
      <c r="A25" s="461" t="s">
        <v>685</v>
      </c>
      <c r="B25" s="462">
        <f t="shared" ca="1" si="2"/>
        <v>10323.215864283662</v>
      </c>
      <c r="C25" s="462">
        <f t="shared" ca="1" si="3"/>
        <v>0</v>
      </c>
      <c r="D25" s="462">
        <f t="shared" si="4"/>
        <v>9430.2553334739096</v>
      </c>
      <c r="E25" s="462">
        <f t="shared" si="5"/>
        <v>146.51072548334801</v>
      </c>
      <c r="F25" s="462">
        <f t="shared" si="6"/>
        <v>2683.9634830711957</v>
      </c>
      <c r="G25" s="462">
        <f t="shared" si="7"/>
        <v>0</v>
      </c>
      <c r="H25" s="462">
        <f t="shared" si="8"/>
        <v>0</v>
      </c>
      <c r="I25" s="462">
        <f t="shared" si="9"/>
        <v>0</v>
      </c>
      <c r="J25" s="462">
        <f t="shared" si="10"/>
        <v>197.58624426421346</v>
      </c>
      <c r="K25" s="462">
        <f t="shared" si="11"/>
        <v>0</v>
      </c>
      <c r="L25" s="462">
        <f t="shared" si="12"/>
        <v>0</v>
      </c>
      <c r="M25" s="462">
        <f t="shared" si="13"/>
        <v>0</v>
      </c>
      <c r="N25" s="462">
        <f t="shared" si="14"/>
        <v>0</v>
      </c>
      <c r="O25" s="462">
        <f t="shared" si="15"/>
        <v>0</v>
      </c>
      <c r="P25" s="463">
        <f t="shared" si="16"/>
        <v>0</v>
      </c>
      <c r="Q25" s="461">
        <f t="shared" ca="1" si="17"/>
        <v>22781.531650576329</v>
      </c>
    </row>
    <row r="26" spans="1:17" s="467" customFormat="1">
      <c r="A26" s="465" t="s">
        <v>579</v>
      </c>
      <c r="B26" s="823">
        <f t="shared" ca="1" si="2"/>
        <v>0.76035175266582411</v>
      </c>
      <c r="C26" s="466">
        <f t="shared" ca="1" si="3"/>
        <v>0</v>
      </c>
      <c r="D26" s="466">
        <f t="shared" si="4"/>
        <v>2.1429545520303677</v>
      </c>
      <c r="E26" s="466">
        <f t="shared" si="5"/>
        <v>140.99040443373354</v>
      </c>
      <c r="F26" s="466">
        <f t="shared" si="6"/>
        <v>0</v>
      </c>
      <c r="G26" s="466">
        <f t="shared" si="7"/>
        <v>38109.003631985979</v>
      </c>
      <c r="H26" s="466">
        <f t="shared" si="8"/>
        <v>5899.9956990374076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44152.89304176181</v>
      </c>
    </row>
    <row r="27" spans="1:17">
      <c r="A27" s="461" t="s">
        <v>569</v>
      </c>
      <c r="B27" s="462">
        <f t="shared" ca="1" si="2"/>
        <v>0</v>
      </c>
      <c r="C27" s="462">
        <f t="shared" ca="1" si="3"/>
        <v>0</v>
      </c>
      <c r="D27" s="462">
        <f t="shared" si="4"/>
        <v>0</v>
      </c>
      <c r="E27" s="462">
        <f t="shared" si="5"/>
        <v>0</v>
      </c>
      <c r="F27" s="462">
        <f t="shared" si="6"/>
        <v>0</v>
      </c>
      <c r="G27" s="462">
        <f t="shared" si="7"/>
        <v>1317.6191799142973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1317.6191799142973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33703.887969627292</v>
      </c>
      <c r="C31" s="472">
        <f t="shared" ca="1" si="18"/>
        <v>16855.1537891915</v>
      </c>
      <c r="D31" s="472">
        <f t="shared" ca="1" si="18"/>
        <v>65114.075336778602</v>
      </c>
      <c r="E31" s="472">
        <f t="shared" si="18"/>
        <v>1362.6906907073405</v>
      </c>
      <c r="F31" s="472">
        <f t="shared" ca="1" si="18"/>
        <v>7028.8744631113659</v>
      </c>
      <c r="G31" s="472">
        <f t="shared" si="18"/>
        <v>39426.622811900277</v>
      </c>
      <c r="H31" s="472">
        <f t="shared" si="18"/>
        <v>5899.9956990374076</v>
      </c>
      <c r="I31" s="472">
        <f t="shared" si="18"/>
        <v>0</v>
      </c>
      <c r="J31" s="472">
        <f t="shared" si="18"/>
        <v>547.48641021000867</v>
      </c>
      <c r="K31" s="472">
        <f t="shared" si="18"/>
        <v>0</v>
      </c>
      <c r="L31" s="472">
        <f t="shared" ca="1" si="18"/>
        <v>0</v>
      </c>
      <c r="M31" s="472">
        <f t="shared" si="18"/>
        <v>0</v>
      </c>
      <c r="N31" s="472">
        <f t="shared" ca="1" si="18"/>
        <v>0</v>
      </c>
      <c r="O31" s="472">
        <f t="shared" si="18"/>
        <v>0</v>
      </c>
      <c r="P31" s="473">
        <f t="shared" si="18"/>
        <v>0</v>
      </c>
      <c r="Q31" s="473">
        <f t="shared" ca="1" si="18"/>
        <v>169938.78717056377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0.18735977336655965</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0.18735977336655965</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0.18735977336655965</v>
      </c>
      <c r="C29" s="513">
        <f ca="1">'EF ele_warmte'!B22</f>
        <v>0.1829679768632029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2018-06-27T09:17:03Z</dcterms:modified>
</cp:coreProperties>
</file>