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E12" i="17"/>
  <c r="F48" i="14" s="1"/>
  <c r="M14" i="22"/>
  <c r="M18" s="1"/>
  <c r="N45" i="14" s="1"/>
  <c r="N46" s="1"/>
  <c r="N53" s="1"/>
  <c r="I7" i="18"/>
  <c r="I9" s="1"/>
  <c r="G14" i="22"/>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67" i="14" l="1"/>
  <c r="C67" s="1"/>
  <c r="C69" s="1"/>
  <c r="J5" i="48"/>
  <c r="J22" s="1"/>
  <c r="Q7"/>
  <c r="J20" i="15"/>
  <c r="K36" i="14" s="1"/>
  <c r="E15"/>
  <c r="E23" s="1"/>
  <c r="D14" i="48"/>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J31" i="48" l="1"/>
  <c r="Q5"/>
  <c r="F8"/>
  <c r="F25" s="1"/>
  <c r="F31" s="1"/>
  <c r="J14"/>
  <c r="F22" i="16"/>
  <c r="G39" i="14" s="1"/>
  <c r="G41" s="1"/>
  <c r="G53" s="1"/>
  <c r="G55" s="1"/>
  <c r="O69" s="1"/>
  <c r="B9" i="6" s="1"/>
  <c r="B12" s="1"/>
  <c r="Q9" i="48"/>
  <c r="E25"/>
  <c r="E31" s="1"/>
  <c r="E14"/>
  <c r="N25"/>
  <c r="N31" s="1"/>
  <c r="N14"/>
  <c r="E22" i="16"/>
  <c r="F39" i="14" s="1"/>
  <c r="F41" s="1"/>
  <c r="F53" s="1"/>
  <c r="F55" s="1"/>
  <c r="J22" i="16"/>
  <c r="K39" i="14" s="1"/>
  <c r="K41" s="1"/>
  <c r="K53" s="1"/>
  <c r="F13"/>
  <c r="F15" s="1"/>
  <c r="F23" s="1"/>
  <c r="G14" i="48"/>
  <c r="H55" i="14"/>
  <c r="M14" i="48"/>
  <c r="R19" i="14"/>
  <c r="R20" s="1"/>
  <c r="M26" i="48"/>
  <c r="M31" s="1"/>
  <c r="O53" i="14"/>
  <c r="M53"/>
  <c r="M55" s="1"/>
  <c r="C12" i="13"/>
  <c r="D37" i="14" s="1"/>
  <c r="D41" s="1"/>
  <c r="C23" i="48"/>
  <c r="C24"/>
  <c r="C27"/>
  <c r="C28"/>
  <c r="C22"/>
  <c r="C25"/>
  <c r="C29"/>
  <c r="C21"/>
  <c r="C26"/>
  <c r="K55" i="14"/>
  <c r="R13"/>
  <c r="R15" s="1"/>
  <c r="Q14" i="48" l="1"/>
  <c r="Q8"/>
  <c r="F14"/>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<sst xmlns="http://schemas.openxmlformats.org/spreadsheetml/2006/main" count="2045" uniqueCount="890">
  <si>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</si>
  <si>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</si>
  <si>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</si>
  <si>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</si>
  <si>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</si>
  <si>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</si>
  <si>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</si>
  <si>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</si>
  <si>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</si>
  <si>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</si>
  <si>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</si>
  <si>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</si>
  <si>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</si>
  <si>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</si>
  <si>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</si>
  <si>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</si>
  <si>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</si>
  <si>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</si>
  <si>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</si>
  <si>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</si>
  <si>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</si>
  <si>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</si>
  <si>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</si>
  <si>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</si>
  <si>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</si>
  <si>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</si>
  <si>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</si>
  <si>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</si>
  <si>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</si>
  <si>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</si>
  <si>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</si>
  <si>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</si>
  <si>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</si>
  <si>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</si>
  <si>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</si>
  <si>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</si>
  <si>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</si>
  <si>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</si>
  <si>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</si>
  <si>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</si>
  <si>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</si>
  <si>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</si>
  <si>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</si>
  <si>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</si>
  <si>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</si>
  <si>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</si>
  <si>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</si>
  <si>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</si>
  <si>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</si>
  <si>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</si>
  <si>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</si>
  <si>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</si>
  <si>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</si>
  <si>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</si>
  <si>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</si>
  <si>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</si>
  <si>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</si>
  <si>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</si>
  <si>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</si>
  <si>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</si>
  <si>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</si>
  <si>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</si>
  <si>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</si>
  <si>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</si>
  <si>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</si>
  <si>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</si>
  <si>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</si>
  <si>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</si>
  <si>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</si>
  <si>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</si>
  <si>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</si>
  <si>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</si>
  <si>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</si>
  <si>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</si>
  <si>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</si>
  <si>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</si>
  <si>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</si>
  <si>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</si>
  <si>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</si>
  <si>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</si>
  <si>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</si>
  <si>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</si>
  <si>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</si>
  <si>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</si>
  <si>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</si>
  <si>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</si>
  <si>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</si>
  <si>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</si>
  <si>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</si>
  <si>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</si>
  <si>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</si>
  <si>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</si>
  <si>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</si>
  <si>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</si>
  <si>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</si>
  <si>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</si>
  <si>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</si>
  <si>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</si>
  <si>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</si>
  <si>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</si>
  <si>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</si>
  <si>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</si>
  <si>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</si>
  <si>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</si>
  <si>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</si>
  <si>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</si>
  <si>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</si>
  <si>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</si>
  <si>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</si>
  <si>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</si>
  <si>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</si>
  <si>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</si>
  <si>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</si>
  <si>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</si>
  <si>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</si>
  <si>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</si>
  <si>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</si>
  <si>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</si>
  <si>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</si>
  <si>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</si>
  <si>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</si>
  <si>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</si>
  <si>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</si>
  <si>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</si>
  <si>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</si>
  <si>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</si>
  <si>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</si>
  <si>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</si>
  <si>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</si>
  <si>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</si>
  <si>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</si>
  <si>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</si>
  <si>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</si>
  <si>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</si>
  <si>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</si>
  <si>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</si>
  <si>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</si>
  <si>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</si>
  <si>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</si>
  <si>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</si>
  <si>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</si>
  <si>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</si>
  <si>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</si>
  <si>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</si>
  <si>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</si>
  <si>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</si>
  <si>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</si>
  <si>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</si>
  <si>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</si>
  <si>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</si>
  <si>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</si>
  <si>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</si>
  <si>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</si>
  <si>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</si>
  <si>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</si>
  <si>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</si>
  <si>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</si>
  <si>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</si>
  <si>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</si>
  <si>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</si>
  <si>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</si>
  <si>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</si>
  <si>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</si>
  <si>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</si>
  <si>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</si>
  <si>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</si>
  <si>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</si>
  <si>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</si>
  <si>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</si>
  <si>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</si>
  <si>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</si>
  <si>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</si>
  <si>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</si>
  <si>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</si>
  <si>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</si>
  <si>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</si>
  <si>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</si>
  <si>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</si>
  <si>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</si>
  <si>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</si>
  <si>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</si>
  <si>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</si>
  <si>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</si>
  <si>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</si>
  <si>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</si>
  <si>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</si>
  <si>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</si>
  <si>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</si>
  <si>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</si>
  <si>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</si>
  <si>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</si>
  <si>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</si>
  <si>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</si>
  <si>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</si>
  <si>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</si>
  <si>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</si>
  <si>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</si>
  <si>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</si>
  <si>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</si>
  <si>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</si>
  <si>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</si>
  <si>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</si>
  <si>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</si>
  <si>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</si>
  <si>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</si>
  <si>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</si>
  <si>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</si>
  <si>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</si>
  <si>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</si>
  <si>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</si>
  <si>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</si>
  <si>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</si>
  <si>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</si>
  <si>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</si>
  <si>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</si>
  <si>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</si>
  <si>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</si>
  <si>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</si>
  <si>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</si>
  <si>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</si>
  <si>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</si>
  <si>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</si>
  <si>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</si>
  <si>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</si>
  <si>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</si>
  <si>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</si>
  <si>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</si>
  <si>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</si>
  <si>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</si>
  <si>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</si>
  <si>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</si>
  <si>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</si>
  <si>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</si>
  <si>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</si>
  <si>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</si>
  <si>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</si>
  <si>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</si>
  <si>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</si>
  <si>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</si>
  <si>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</si>
  <si>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</si>
  <si>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</si>
  <si>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</si>
  <si>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</si>
  <si>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</si>
  <si>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</si>
  <si>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</si>
  <si>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</si>
  <si>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</si>
  <si>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</si>
  <si>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</si>
  <si>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</si>
  <si>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</si>
  <si>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</si>
  <si>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</si>
  <si>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</si>
  <si>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</si>
  <si>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</si>
  <si>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</si>
  <si>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</si>
  <si>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</si>
  <si>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</si>
  <si>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</si>
  <si>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</si>
  <si>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</si>
  <si>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</si>
  <si>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</si>
  <si>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</si>
  <si>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</si>
  <si>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</si>
  <si>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</si>
  <si>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</si>
  <si>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</si>
  <si>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</si>
  <si>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</si>
  <si>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</si>
  <si>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</si>
  <si>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</si>
  <si>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</si>
  <si>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</si>
  <si>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</si>
  <si>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</si>
  <si>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</si>
  <si>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</si>
  <si>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</si>
  <si>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</si>
  <si>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</si>
  <si>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</si>
  <si>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</si>
  <si>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</si>
  <si>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</si>
  <si>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</si>
  <si>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</si>
  <si>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</si>
  <si>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</si>
  <si>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</si>
  <si>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</si>
  <si>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</si>
  <si>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</si>
  <si>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</si>
  <si>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</si>
  <si>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</si>
  <si>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</si>
  <si>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</si>
  <si>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</si>
  <si>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</si>
  <si>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</si>
  <si>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</si>
  <si>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</si>
  <si>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</si>
  <si>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</si>
  <si>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</si>
  <si>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</si>
  <si>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</si>
  <si>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</si>
  <si>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</si>
  <si>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</si>
  <si>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</si>
  <si>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</si>
  <si>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</si>
  <si>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</si>
  <si>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</si>
  <si>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</si>
  <si>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</si>
  <si>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</si>
  <si>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</si>
  <si>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</si>
  <si>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</si>
  <si>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</si>
  <si>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</si>
  <si>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</si>
  <si>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</si>
  <si>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</si>
  <si>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</si>
  <si>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</si>
  <si>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</si>
  <si>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</si>
  <si>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</si>
  <si>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</si>
  <si>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</si>
  <si>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</si>
  <si>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</si>
  <si>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</si>
  <si>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</si>
  <si>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</si>
  <si>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</si>
  <si>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</si>
  <si>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</si>
  <si>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</si>
  <si>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</si>
  <si>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</si>
  <si>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</si>
  <si>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</si>
  <si>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</si>
  <si>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</si>
  <si>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</si>
  <si>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</si>
  <si>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</si>
  <si>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</si>
  <si>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</si>
  <si>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</si>
  <si>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</si>
  <si>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</si>
  <si>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</si>
  <si>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</si>
  <si>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</si>
  <si>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</si>
  <si>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</si>
  <si>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</si>
  <si>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</si>
  <si>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</si>
  <si>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</si>
  <si>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</si>
  <si>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</si>
  <si>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</si>
  <si>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</si>
  <si>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</si>
  <si>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</si>
  <si>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</si>
  <si>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</si>
  <si>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</si>
  <si>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</si>
  <si>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</si>
  <si>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</si>
  <si>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</si>
  <si>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</si>
  <si>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</si>
  <si>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</si>
  <si>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</si>
  <si>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</si>
  <si>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</si>
  <si>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</si>
  <si>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</si>
  <si>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</si>
  <si>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</si>
  <si>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</si>
  <si>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</si>
  <si>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</si>
  <si>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</si>
  <si>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</si>
  <si>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</si>
  <si>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</si>
  <si>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</si>
  <si>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</si>
  <si>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</si>
  <si>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</si>
  <si>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</si>
  <si>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</si>
  <si>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</si>
  <si>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</si>
  <si>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</si>
  <si>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</si>
  <si>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</si>
  <si>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</si>
  <si>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</si>
  <si>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</si>
  <si>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</si>
  <si>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</si>
  <si>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</si>
  <si>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</si>
  <si>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</si>
  <si>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</si>
  <si>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</si>
  <si>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</si>
  <si>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</si>
  <si>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</si>
  <si>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</si>
  <si>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</si>
  <si>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</si>
  <si>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</si>
  <si>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</si>
  <si>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</si>
  <si>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</si>
  <si>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</si>
  <si>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</si>
  <si>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</si>
  <si>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</si>
  <si>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</si>
  <si>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</si>
  <si>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</si>
  <si>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</si>
  <si>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</si>
  <si>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</si>
  <si>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</si>
  <si>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</si>
  <si>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</si>
  <si>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</si>
  <si>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</si>
  <si>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</si>
  <si>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</si>
  <si>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</si>
  <si>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</si>
  <si>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</si>
  <si>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</si>
  <si>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</si>
  <si>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</si>
  <si>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</si>
  <si>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</si>
  <si>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</si>
  <si>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</si>
  <si>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</si>
  <si>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</si>
  <si>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</si>
  <si>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</si>
  <si>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</si>
  <si>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</si>
  <si>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</si>
  <si>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</si>
  <si>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</si>
  <si>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</si>
  <si>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</si>
  <si>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</si>
  <si>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</si>
  <si>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</si>
  <si>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</si>
  <si>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</si>
  <si>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</si>
  <si>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</si>
  <si>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</si>
  <si>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</si>
  <si>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</si>
  <si>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</si>
  <si>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</si>
  <si>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</si>
  <si>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</si>
  <si>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</si>
  <si>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</si>
  <si>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</si>
  <si>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</si>
  <si>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</si>
  <si>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</si>
  <si>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</si>
  <si>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</si>
  <si>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</si>
  <si>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</si>
  <si>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</si>
  <si>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</si>
  <si>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</si>
  <si>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</si>
  <si>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</si>
  <si>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</si>
  <si>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</si>
  <si>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</si>
  <si>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</si>
  <si>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</si>
  <si>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</si>
  <si>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</si>
  <si>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</si>
  <si>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</si>
  <si>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</si>
  <si>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</si>
  <si>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</si>
  <si>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</si>
  <si>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</si>
  <si>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</si>
  <si>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</si>
  <si>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</si>
  <si>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</si>
  <si>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</si>
  <si>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</si>
  <si>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</si>
  <si>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</si>
  <si>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</si>
  <si>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</si>
  <si>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</si>
  <si>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</si>
  <si>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</si>
  <si>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</si>
  <si>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</si>
  <si>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</si>
  <si>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</si>
  <si>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</si>
  <si>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</si>
  <si>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</si>
  <si>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</si>
  <si>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</si>
  <si>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</si>
  <si>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</si>
  <si>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</si>
  <si>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</si>
  <si>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</si>
  <si>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</si>
  <si>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</si>
  <si>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</si>
  <si>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</si>
  <si>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</si>
  <si>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</si>
  <si>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</si>
  <si>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</si>
  <si>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</si>
  <si>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</si>
  <si>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</si>
  <si>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</si>
  <si>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</si>
  <si>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</si>
  <si>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</si>
  <si>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</si>
  <si>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</si>
  <si>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</si>
  <si>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</si>
  <si>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</si>
  <si>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</si>
  <si>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</si>
  <si>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</si>
  <si>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</si>
  <si>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</si>
  <si>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</si>
  <si>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</si>
  <si>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</si>
  <si>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</si>
  <si>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</si>
  <si>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</si>
  <si>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</si>
  <si>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</si>
  <si>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</si>
  <si>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</si>
  <si>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</si>
  <si>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</si>
  <si>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</si>
  <si>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</si>
  <si>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</si>
  <si>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</si>
  <si>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</si>
  <si>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</si>
  <si>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</si>
  <si>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</si>
  <si>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</si>
  <si>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</si>
  <si>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</si>
  <si>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</si>
  <si>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</si>
  <si>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</si>
  <si>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</si>
  <si>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</si>
  <si>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</si>
  <si>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</si>
  <si>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</si>
  <si>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</si>
  <si>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</si>
  <si>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</si>
  <si>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</si>
  <si>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</si>
  <si>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</si>
  <si>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</si>
  <si>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</si>
  <si>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</si>
  <si>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</si>
  <si>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</si>
  <si>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</si>
  <si>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</si>
  <si>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</si>
  <si>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</si>
  <si>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</si>
  <si>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</si>
  <si>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</si>
  <si>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</si>
  <si>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</si>
  <si>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</si>
  <si>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</si>
  <si>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</si>
  <si>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</si>
  <si>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</si>
  <si>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</si>
  <si>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</si>
  <si>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</si>
  <si>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</si>
  <si>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</si>
  <si>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</si>
  <si>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</si>
  <si>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</si>
  <si>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</si>
  <si>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</si>
  <si>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</si>
  <si>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</si>
  <si>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</si>
  <si>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</si>
  <si>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</si>
  <si>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</si>
  <si>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</si>
  <si>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</si>
  <si>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</si>
  <si>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</si>
  <si>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</si>
  <si>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</si>
  <si>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</si>
  <si>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</si>
  <si>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</si>
  <si>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</si>
  <si>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</si>
  <si>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</si>
  <si>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</si>
  <si>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</si>
  <si>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</si>
  <si>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</si>
  <si>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</si>
  <si>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</si>
  <si>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</si>
  <si>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</si>
  <si>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</si>
  <si>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</si>
  <si>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</si>
  <si>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</si>
  <si>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</si>
  <si>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</si>
  <si>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</si>
  <si>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</si>
  <si>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</si>
  <si>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</si>
  <si>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</si>
  <si>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</si>
  <si>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</si>
  <si>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</si>
  <si>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</si>
  <si>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</si>
  <si>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</si>
  <si>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</si>
  <si>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</si>
  <si>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</si>
  <si>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</si>
  <si>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</si>
  <si>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</si>
  <si>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</si>
  <si>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</si>
  <si>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</si>
  <si>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</si>
  <si>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</si>
  <si>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</si>
  <si>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</si>
  <si>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</si>
  <si>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</si>
  <si>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</si>
  <si>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</si>
  <si>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</si>
  <si>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</si>
  <si>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</si>
  <si>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</si>
  <si>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</si>
  <si>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</si>
  <si>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</si>
  <si>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</si>
  <si>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</si>
  <si>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</si>
  <si>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</si>
  <si>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</si>
  <si>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</si>
  <si>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</si>
  <si>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</si>
  <si>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</si>
  <si>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</si>
  <si>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</si>
  <si>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</si>
  <si>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</si>
  <si>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</si>
  <si>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</si>
  <si>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</si>
  <si>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</si>
  <si>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</si>
  <si>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</si>
  <si>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</si>
  <si>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</si>
  <si>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</si>
  <si>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</si>
  <si>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</si>
  <si>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</si>
  <si>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</si>
  <si>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</si>
  <si>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</si>
  <si>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</si>
  <si>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</si>
  <si>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</si>
  <si>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</si>
  <si>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</si>
  <si>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</si>
  <si>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</si>
  <si>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</si>
  <si>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</si>
  <si>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</si>
  <si>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</si>
  <si>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</si>
  <si>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</si>
  <si>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</si>
  <si>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</si>
  <si>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</si>
  <si>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</si>
  <si>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</si>
  <si>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</si>
  <si>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</si>
  <si>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</si>
  <si>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</si>
  <si>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</si>
  <si>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</si>
  <si>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</si>
  <si>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</si>
  <si>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</si>
  <si>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</si>
  <si>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</si>
  <si>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</si>
  <si>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</si>
  <si>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</si>
  <si>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</si>
  <si>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</si>
  <si>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</si>
  <si>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</si>
  <si>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</si>
  <si>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</si>
  <si>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</si>
  <si>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</si>
  <si>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</si>
  <si>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</si>
  <si>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</si>
  <si>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</si>
  <si>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</si>
  <si>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</si>
  <si>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</si>
  <si>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</si>
  <si>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</si>
  <si>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</si>
  <si>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</si>
  <si>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</si>
  <si>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</si>
  <si>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</si>
  <si>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</si>
  <si>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</si>
  <si>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</si>
  <si>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</si>
  <si>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</si>
  <si>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</si>
  <si>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</si>
  <si>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</si>
  <si>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</si>
  <si>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</si>
  <si>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</si>
  <si>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</si>
  <si>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</si>
  <si>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</si>
  <si>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</si>
  <si>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</si>
  <si>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</si>
  <si>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</si>
  <si>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</si>
  <si>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</si>
  <si>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</si>
  <si>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</si>
  <si>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</si>
  <si>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</si>
  <si>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</si>
  <si>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</si>
  <si>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</si>
  <si>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</si>
  <si>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</si>
  <si>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</si>
  <si>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</si>
  <si>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</si>
  <si>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</si>
  <si>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</si>
  <si>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</si>
  <si>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</si>
  <si>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</si>
  <si>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</si>
  <si>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</si>
  <si>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</si>
  <si>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</si>
  <si>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</si>
  <si>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</si>
  <si>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</si>
  <si>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</si>
  <si>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</si>
  <si>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</si>
  <si>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</si>
  <si>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</si>
  <si>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</si>
  <si>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</si>
  <si>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</si>
  <si>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</si>
  <si>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</si>
  <si>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</si>
  <si>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</si>
  <si>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</si>
  <si>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</si>
  <si>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</si>
  <si>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</si>
  <si>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</si>
  <si>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</si>
  <si>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</si>
  <si>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</si>
  <si>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</si>
  <si>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</si>
  <si>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</si>
  <si>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</si>
  <si>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</si>
  <si>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</si>
  <si>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</si>
  <si>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</si>
  <si>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</si>
  <si>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</si>
  <si>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</si>
  <si>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</si>
  <si>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</si>
  <si>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</si>
  <si>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</si>
  <si>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</si>
  <si>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</si>
  <si>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</si>
  <si>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</si>
  <si>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</si>
  <si>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</si>
  <si>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</si>
  <si>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</si>
  <si>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</si>
  <si>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</si>
  <si>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</si>
  <si>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11052</t>
  </si>
  <si>
    <t>WOMMELGEM</t>
  </si>
  <si>
    <t>Paarden&amp;pony's 200 - 600 kg</t>
  </si>
  <si>
    <t>Paarden&amp;pony's &lt; 200 kg</t>
  </si>
  <si>
    <t>op basis van VEA (maart 2018) en Inventaris Hernieuwbare Energiebronnen (juni 2018)</t>
  </si>
  <si>
    <t>VEA (juni 2018)</t>
  </si>
  <si>
    <t>Albrecht C.V.</t>
  </si>
  <si>
    <t>Heyaardstraat 5, 2160 Wommelgem</t>
  </si>
  <si>
    <t>WKK-0143 Albrecht C.V.</t>
  </si>
  <si>
    <t>interne verbrandingsmotor</t>
  </si>
  <si>
    <t>WKK interne verbrandinsgmotor (gas)</t>
  </si>
  <si>
    <t>eilandwerking</t>
  </si>
  <si>
    <t>Pieting Power BVBA</t>
  </si>
  <si>
    <t>Pietingbaan 105, 2160 Wommelgem</t>
  </si>
  <si>
    <t>WKK-0133 Groeikracht Wommelgem</t>
  </si>
  <si>
    <t>IVEKA</t>
  </si>
  <si>
    <t>Dirk Mermans</t>
  </si>
  <si>
    <t>Vremdesteenweg 120 , 2160 Wommelgem</t>
  </si>
  <si>
    <t>WKK-0286 Dirk Mermans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</si>
</sst>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11052</v>
      </c>
      <c r="B6" s="397"/>
      <c r="C6" s="398"/>
    </row>
    <row r="7" spans="1:7" s="395" customFormat="1" ht="15.75" customHeight="1">
      <c r="A7" s="399" t="str">
        <f>txtMunicipality</f>
        <v>WOMMELGEM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5002</v>
      </c>
      <c r="C9" s="338">
        <v>5289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315</v>
      </c>
    </row>
    <row r="15" spans="1:6">
      <c r="A15" s="1205" t="s">
        <v>184</v>
      </c>
      <c r="B15" s="335">
        <v>0</v>
      </c>
    </row>
    <row r="16" spans="1:6">
      <c r="A16" s="1205" t="s">
        <v>6</v>
      </c>
      <c r="B16" s="335">
        <v>0</v>
      </c>
    </row>
    <row r="17" spans="1:6">
      <c r="A17" s="1205" t="s">
        <v>7</v>
      </c>
      <c r="B17" s="335">
        <v>22</v>
      </c>
    </row>
    <row r="18" spans="1:6">
      <c r="A18" s="1205" t="s">
        <v>8</v>
      </c>
      <c r="B18" s="335">
        <v>19</v>
      </c>
    </row>
    <row r="19" spans="1:6">
      <c r="A19" s="1205" t="s">
        <v>9</v>
      </c>
      <c r="B19" s="335">
        <v>14</v>
      </c>
    </row>
    <row r="20" spans="1:6">
      <c r="A20" s="1205" t="s">
        <v>10</v>
      </c>
      <c r="B20" s="335">
        <v>31</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0</v>
      </c>
    </row>
    <row r="28" spans="1:6" s="341" customFormat="1">
      <c r="A28" s="1206" t="s">
        <v>18</v>
      </c>
      <c r="B28" s="1206">
        <v>9672</v>
      </c>
    </row>
    <row r="29" spans="1:6">
      <c r="A29" s="1206" t="s">
        <v>873</v>
      </c>
      <c r="B29" s="1206">
        <v>47</v>
      </c>
      <c r="C29" s="341"/>
      <c r="D29" s="341"/>
      <c r="E29" s="341"/>
      <c r="F29" s="341"/>
    </row>
    <row r="30" spans="1:6">
      <c r="A30" s="1201" t="s">
        <v>874</v>
      </c>
      <c r="B30" s="1201">
        <v>20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3</v>
      </c>
      <c r="F38" s="335">
        <v>54770.176991248001</v>
      </c>
    </row>
    <row r="39" spans="1:6">
      <c r="A39" s="1205" t="s">
        <v>30</v>
      </c>
      <c r="B39" s="1205" t="s">
        <v>31</v>
      </c>
      <c r="C39" s="335">
        <v>4048</v>
      </c>
      <c r="D39" s="335">
        <v>74581532.3109916</v>
      </c>
      <c r="E39" s="335">
        <v>5139</v>
      </c>
      <c r="F39" s="335">
        <v>20980309.901898999</v>
      </c>
    </row>
    <row r="40" spans="1:6">
      <c r="A40" s="1205" t="s">
        <v>30</v>
      </c>
      <c r="B40" s="1205" t="s">
        <v>29</v>
      </c>
      <c r="C40" s="335">
        <v>0</v>
      </c>
      <c r="D40" s="335">
        <v>0</v>
      </c>
      <c r="E40" s="335">
        <v>0</v>
      </c>
      <c r="F40" s="335">
        <v>0</v>
      </c>
    </row>
    <row r="41" spans="1:6">
      <c r="A41" s="1205" t="s">
        <v>32</v>
      </c>
      <c r="B41" s="1205" t="s">
        <v>33</v>
      </c>
      <c r="C41" s="335">
        <v>37</v>
      </c>
      <c r="D41" s="335">
        <v>1424941.8909543799</v>
      </c>
      <c r="E41" s="335">
        <v>105</v>
      </c>
      <c r="F41" s="335">
        <v>1188240.1713554901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14</v>
      </c>
      <c r="D44" s="335">
        <v>48086274.224824302</v>
      </c>
      <c r="E44" s="335">
        <v>20</v>
      </c>
      <c r="F44" s="335">
        <v>635438.61119563505</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8</v>
      </c>
      <c r="D47" s="335">
        <v>4027084.5819155802</v>
      </c>
      <c r="E47" s="335">
        <v>8</v>
      </c>
      <c r="F47" s="335">
        <v>3178591.4508535299</v>
      </c>
    </row>
    <row r="48" spans="1:6">
      <c r="A48" s="1205" t="s">
        <v>32</v>
      </c>
      <c r="B48" s="1205" t="s">
        <v>29</v>
      </c>
      <c r="C48" s="335">
        <v>23</v>
      </c>
      <c r="D48" s="335">
        <v>3385096.2263291101</v>
      </c>
      <c r="E48" s="335">
        <v>35</v>
      </c>
      <c r="F48" s="335">
        <v>5208598.5182100004</v>
      </c>
    </row>
    <row r="49" spans="1:6">
      <c r="A49" s="1205" t="s">
        <v>32</v>
      </c>
      <c r="B49" s="1205" t="s">
        <v>40</v>
      </c>
      <c r="C49" s="335">
        <v>0</v>
      </c>
      <c r="D49" s="335">
        <v>0</v>
      </c>
      <c r="E49" s="335">
        <v>0</v>
      </c>
      <c r="F49" s="335">
        <v>0</v>
      </c>
    </row>
    <row r="50" spans="1:6">
      <c r="A50" s="1205" t="s">
        <v>32</v>
      </c>
      <c r="B50" s="1205" t="s">
        <v>41</v>
      </c>
      <c r="C50" s="335">
        <v>9</v>
      </c>
      <c r="D50" s="335">
        <v>23233226.499416102</v>
      </c>
      <c r="E50" s="335">
        <v>10</v>
      </c>
      <c r="F50" s="335">
        <v>19489647.744628601</v>
      </c>
    </row>
    <row r="51" spans="1:6">
      <c r="A51" s="1205" t="s">
        <v>42</v>
      </c>
      <c r="B51" s="1205" t="s">
        <v>43</v>
      </c>
      <c r="C51" s="335">
        <v>3</v>
      </c>
      <c r="D51" s="335">
        <v>2971888.1502350001</v>
      </c>
      <c r="E51" s="335">
        <v>16</v>
      </c>
      <c r="F51" s="335">
        <v>353542.72457646998</v>
      </c>
    </row>
    <row r="52" spans="1:6">
      <c r="A52" s="1205" t="s">
        <v>42</v>
      </c>
      <c r="B52" s="1205" t="s">
        <v>29</v>
      </c>
      <c r="C52" s="335">
        <v>5</v>
      </c>
      <c r="D52" s="335">
        <v>9871506.7153866198</v>
      </c>
      <c r="E52" s="335">
        <v>8</v>
      </c>
      <c r="F52" s="335">
        <v>126545.794279012</v>
      </c>
    </row>
    <row r="53" spans="1:6">
      <c r="A53" s="1205" t="s">
        <v>44</v>
      </c>
      <c r="B53" s="1205" t="s">
        <v>45</v>
      </c>
      <c r="C53" s="335">
        <v>76</v>
      </c>
      <c r="D53" s="335">
        <v>2423133.4472906399</v>
      </c>
      <c r="E53" s="335">
        <v>128</v>
      </c>
      <c r="F53" s="335">
        <v>841017.86171669501</v>
      </c>
    </row>
    <row r="54" spans="1:6">
      <c r="A54" s="1205" t="s">
        <v>46</v>
      </c>
      <c r="B54" s="1205" t="s">
        <v>47</v>
      </c>
      <c r="C54" s="335">
        <v>0</v>
      </c>
      <c r="D54" s="335">
        <v>0</v>
      </c>
      <c r="E54" s="335">
        <v>1</v>
      </c>
      <c r="F54" s="335">
        <v>886325</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22</v>
      </c>
      <c r="D57" s="335">
        <v>1420090.98816775</v>
      </c>
      <c r="E57" s="335">
        <v>44</v>
      </c>
      <c r="F57" s="335">
        <v>1796203.26686036</v>
      </c>
    </row>
    <row r="58" spans="1:6">
      <c r="A58" s="1205" t="s">
        <v>49</v>
      </c>
      <c r="B58" s="1205" t="s">
        <v>51</v>
      </c>
      <c r="C58" s="335">
        <v>6</v>
      </c>
      <c r="D58" s="335">
        <v>2086899.55919322</v>
      </c>
      <c r="E58" s="335">
        <v>6</v>
      </c>
      <c r="F58" s="335">
        <v>805527.12470127596</v>
      </c>
    </row>
    <row r="59" spans="1:6">
      <c r="A59" s="1205" t="s">
        <v>49</v>
      </c>
      <c r="B59" s="1205" t="s">
        <v>52</v>
      </c>
      <c r="C59" s="335">
        <v>147</v>
      </c>
      <c r="D59" s="335">
        <v>10639608.5654181</v>
      </c>
      <c r="E59" s="335">
        <v>256</v>
      </c>
      <c r="F59" s="335">
        <v>13410132.520428799</v>
      </c>
    </row>
    <row r="60" spans="1:6">
      <c r="A60" s="1205" t="s">
        <v>49</v>
      </c>
      <c r="B60" s="1205" t="s">
        <v>53</v>
      </c>
      <c r="C60" s="335">
        <v>34</v>
      </c>
      <c r="D60" s="335">
        <v>1991634.94071123</v>
      </c>
      <c r="E60" s="335">
        <v>41</v>
      </c>
      <c r="F60" s="335">
        <v>997949.59915319504</v>
      </c>
    </row>
    <row r="61" spans="1:6">
      <c r="A61" s="1205" t="s">
        <v>49</v>
      </c>
      <c r="B61" s="1205" t="s">
        <v>54</v>
      </c>
      <c r="C61" s="335">
        <v>117</v>
      </c>
      <c r="D61" s="335">
        <v>8732936.2299446203</v>
      </c>
      <c r="E61" s="335">
        <v>240</v>
      </c>
      <c r="F61" s="335">
        <v>5507398.4671974499</v>
      </c>
    </row>
    <row r="62" spans="1:6">
      <c r="A62" s="1205" t="s">
        <v>49</v>
      </c>
      <c r="B62" s="1205" t="s">
        <v>55</v>
      </c>
      <c r="C62" s="335">
        <v>0</v>
      </c>
      <c r="D62" s="335">
        <v>0</v>
      </c>
      <c r="E62" s="335">
        <v>3</v>
      </c>
      <c r="F62" s="335">
        <v>117323</v>
      </c>
    </row>
    <row r="63" spans="1:6">
      <c r="A63" s="1205" t="s">
        <v>49</v>
      </c>
      <c r="B63" s="1205" t="s">
        <v>29</v>
      </c>
      <c r="C63" s="335">
        <v>104</v>
      </c>
      <c r="D63" s="335">
        <v>15856414.5885354</v>
      </c>
      <c r="E63" s="335">
        <v>123</v>
      </c>
      <c r="F63" s="335">
        <v>6859017.6207525702</v>
      </c>
    </row>
    <row r="64" spans="1:6">
      <c r="A64" s="1205" t="s">
        <v>56</v>
      </c>
      <c r="B64" s="1205" t="s">
        <v>57</v>
      </c>
      <c r="C64" s="335">
        <v>0</v>
      </c>
      <c r="D64" s="335">
        <v>0</v>
      </c>
      <c r="E64" s="335">
        <v>0</v>
      </c>
      <c r="F64" s="335">
        <v>0</v>
      </c>
    </row>
    <row r="65" spans="1:6">
      <c r="A65" s="1205" t="s">
        <v>56</v>
      </c>
      <c r="B65" s="1205" t="s">
        <v>29</v>
      </c>
      <c r="C65" s="335">
        <v>0</v>
      </c>
      <c r="D65" s="335">
        <v>0</v>
      </c>
      <c r="E65" s="335">
        <v>4</v>
      </c>
      <c r="F65" s="335">
        <v>27369.2985649599</v>
      </c>
    </row>
    <row r="66" spans="1:6">
      <c r="A66" s="1205" t="s">
        <v>56</v>
      </c>
      <c r="B66" s="1205" t="s">
        <v>58</v>
      </c>
      <c r="C66" s="335">
        <v>0</v>
      </c>
      <c r="D66" s="335">
        <v>0</v>
      </c>
      <c r="E66" s="335">
        <v>0</v>
      </c>
      <c r="F66" s="335">
        <v>0</v>
      </c>
    </row>
    <row r="67" spans="1:6">
      <c r="A67" s="1206" t="s">
        <v>56</v>
      </c>
      <c r="B67" s="1206" t="s">
        <v>59</v>
      </c>
      <c r="C67" s="335">
        <v>0</v>
      </c>
      <c r="D67" s="335">
        <v>0</v>
      </c>
      <c r="E67" s="335">
        <v>33</v>
      </c>
      <c r="F67" s="335">
        <v>650126.79860848398</v>
      </c>
    </row>
    <row r="68" spans="1:6">
      <c r="A68" s="1201" t="s">
        <v>56</v>
      </c>
      <c r="B68" s="1201" t="s">
        <v>60</v>
      </c>
      <c r="C68" s="335">
        <v>6</v>
      </c>
      <c r="D68" s="335">
        <v>1029886.08520421</v>
      </c>
      <c r="E68" s="335">
        <v>13</v>
      </c>
      <c r="F68" s="335">
        <v>220399.40620116401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38262735</v>
      </c>
      <c r="E73" s="335">
        <v>31715439.356178004</v>
      </c>
    </row>
    <row r="74" spans="1:6">
      <c r="A74" s="1205" t="s">
        <v>64</v>
      </c>
      <c r="B74" s="1205" t="s">
        <v>772</v>
      </c>
      <c r="C74" s="1216" t="s">
        <v>766</v>
      </c>
      <c r="D74" s="335">
        <v>3644426.8862083997</v>
      </c>
      <c r="E74" s="335">
        <v>3257475.537645312</v>
      </c>
    </row>
    <row r="75" spans="1:6">
      <c r="A75" s="1205" t="s">
        <v>65</v>
      </c>
      <c r="B75" s="1205" t="s">
        <v>771</v>
      </c>
      <c r="C75" s="1216" t="s">
        <v>767</v>
      </c>
      <c r="D75" s="335">
        <v>12594124</v>
      </c>
      <c r="E75" s="335">
        <v>10176107.656212844</v>
      </c>
    </row>
    <row r="76" spans="1:6">
      <c r="A76" s="1205" t="s">
        <v>65</v>
      </c>
      <c r="B76" s="1205" t="s">
        <v>772</v>
      </c>
      <c r="C76" s="1216" t="s">
        <v>768</v>
      </c>
      <c r="D76" s="335">
        <v>1265209.8862083997</v>
      </c>
      <c r="E76" s="335">
        <v>1139576.7311457361</v>
      </c>
    </row>
    <row r="77" spans="1:6">
      <c r="A77" s="1205" t="s">
        <v>66</v>
      </c>
      <c r="B77" s="1205" t="s">
        <v>771</v>
      </c>
      <c r="C77" s="1216" t="s">
        <v>769</v>
      </c>
      <c r="D77" s="335">
        <v>165633342</v>
      </c>
      <c r="E77" s="335">
        <v>177685798.9325479</v>
      </c>
    </row>
    <row r="78" spans="1:6">
      <c r="A78" s="1201" t="s">
        <v>66</v>
      </c>
      <c r="B78" s="1201" t="s">
        <v>772</v>
      </c>
      <c r="C78" s="1201" t="s">
        <v>770</v>
      </c>
      <c r="D78" s="1201">
        <v>35608493</v>
      </c>
      <c r="E78" s="1201">
        <v>38421277.023954362</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680740.22758320067</v>
      </c>
      <c r="C83" s="335">
        <v>640809.00257586548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1725.9139641698519</v>
      </c>
    </row>
    <row r="92" spans="1:6">
      <c r="A92" s="1201" t="s">
        <v>69</v>
      </c>
      <c r="B92" s="338">
        <v>2470.1246188095597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3049</v>
      </c>
    </row>
    <row r="98" spans="1:6">
      <c r="A98" s="1205" t="s">
        <v>72</v>
      </c>
      <c r="B98" s="335">
        <v>2</v>
      </c>
    </row>
    <row r="99" spans="1:6">
      <c r="A99" s="1205" t="s">
        <v>73</v>
      </c>
      <c r="B99" s="335">
        <v>32</v>
      </c>
    </row>
    <row r="100" spans="1:6">
      <c r="A100" s="1205" t="s">
        <v>74</v>
      </c>
      <c r="B100" s="335">
        <v>376</v>
      </c>
    </row>
    <row r="101" spans="1:6">
      <c r="A101" s="1205" t="s">
        <v>75</v>
      </c>
      <c r="B101" s="335">
        <v>46</v>
      </c>
    </row>
    <row r="102" spans="1:6">
      <c r="A102" s="1205" t="s">
        <v>76</v>
      </c>
      <c r="B102" s="335">
        <v>41</v>
      </c>
    </row>
    <row r="103" spans="1:6">
      <c r="A103" s="1205" t="s">
        <v>77</v>
      </c>
      <c r="B103" s="335">
        <v>57</v>
      </c>
    </row>
    <row r="104" spans="1:6">
      <c r="A104" s="1205" t="s">
        <v>78</v>
      </c>
      <c r="B104" s="335">
        <v>856</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5</v>
      </c>
      <c r="C123" s="335">
        <v>12</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59</v>
      </c>
    </row>
    <row r="130" spans="1:6">
      <c r="A130" s="1205" t="s">
        <v>295</v>
      </c>
      <c r="B130" s="335">
        <v>0</v>
      </c>
    </row>
    <row r="131" spans="1:6">
      <c r="A131" s="1205" t="s">
        <v>296</v>
      </c>
      <c r="B131" s="335">
        <v>0</v>
      </c>
    </row>
    <row r="132" spans="1:6">
      <c r="A132" s="1201" t="s">
        <v>297</v>
      </c>
      <c r="B132" s="338">
        <v>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102162.26044029667</v>
      </c>
      <c r="C3" s="44" t="s">
        <v>170</v>
      </c>
      <c r="D3" s="44"/>
      <c r="E3" s="157"/>
      <c r="F3" s="44"/>
      <c r="G3" s="44"/>
      <c r="H3" s="44"/>
      <c r="I3" s="44"/>
      <c r="J3" s="44"/>
      <c r="K3" s="97"/>
    </row>
    <row r="4" spans="1:11">
      <c r="A4" s="365" t="s">
        <v>171</v>
      </c>
      <c r="B4" s="50">
        <f>IF(ISERROR('SEAP template'!B69),0,'SEAP template'!B69)</f>
        <v>30179.03858297941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6174.783529411764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0.21615688087465687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8821.119327731094</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37118.571428571428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886.32500000000005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886.32500000000005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0.21615688087465687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191.58524744123025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20980.309901899</v>
      </c>
      <c r="C5" s="18">
        <f>IF(ISERROR('Eigen informatie GS &amp; warmtenet'!B57),0,'Eigen informatie GS &amp; warmtenet'!B57)</f>
        <v>0</v>
      </c>
      <c r="D5" s="31">
        <f>(SUM(HH_hh_gas_kWh,HH_rest_gas_kWh)/1000)*0.902</f>
        <v>67272.542144514431</v>
      </c>
      <c r="E5" s="18">
        <f>B46*B57</f>
        <v>1470.9074337083398</v>
      </c>
      <c r="F5" s="18">
        <f>B51*B62</f>
        <v>0</v>
      </c>
      <c r="G5" s="19"/>
      <c r="H5" s="18"/>
      <c r="I5" s="18"/>
      <c r="J5" s="18">
        <f>B50*B61+C50*C61</f>
        <v>0</v>
      </c>
      <c r="K5" s="18"/>
      <c r="L5" s="18"/>
      <c r="M5" s="18"/>
      <c r="N5" s="18">
        <f>B48*B59+C48*C59</f>
        <v>6866.699317182175</v>
      </c>
      <c r="O5" s="18">
        <f>B69*B70*B71</f>
        <v>112.56000000000002</v>
      </c>
      <c r="P5" s="18">
        <f>B77*B78*B79/1000-B77*B78*B79/1000/B80</f>
        <v>133.46666666666667</v>
      </c>
    </row>
    <row r="6" spans="1:16">
      <c r="A6" s="17" t="s">
        <v>639</v>
      </c>
      <c r="B6" s="831">
        <f>kWh_PV_kleiner_dan_10kW</f>
        <v>1725.9139641698519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22706.223866068853</v>
      </c>
      <c r="C8" s="22">
        <f>C5</f>
        <v>0</v>
      </c>
      <c r="D8" s="22">
        <f>D5</f>
        <v>67272.542144514431</v>
      </c>
      <c r="E8" s="22">
        <f>E5</f>
        <v>1470.9074337083398</v>
      </c>
      <c r="F8" s="22">
        <f>F5</f>
        <v>0</v>
      </c>
      <c r="G8" s="22"/>
      <c r="H8" s="22"/>
      <c r="I8" s="22"/>
      <c r="J8" s="22">
        <f>J5</f>
        <v>0</v>
      </c>
      <c r="K8" s="22"/>
      <c r="L8" s="22">
        <f>L5</f>
        <v>0</v>
      </c>
      <c r="M8" s="22">
        <f>M5</f>
        <v>0</v>
      </c>
      <c r="N8" s="22">
        <f>N5</f>
        <v>6866.699317182175</v>
      </c>
      <c r="O8" s="22">
        <f>O5</f>
        <v>112.56000000000002</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0.21615688087465687</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4908.106527331136</v>
      </c>
      <c r="C12" s="24">
        <f ca="1">C10*C8</f>
        <v>0</v>
      </c>
      <c r="D12" s="24">
        <f>D8*D10</f>
        <v>13589.053513191917</v>
      </c>
      <c r="E12" s="24">
        <f>E10*E8</f>
        <v>333.89598745179313</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3049</v>
      </c>
      <c r="C18" s="169" t="s">
        <v>111</v>
      </c>
      <c r="D18" s="231"/>
      <c r="E18" s="16"/>
    </row>
    <row r="19" spans="1:7">
      <c r="A19" s="174" t="s">
        <v>72</v>
      </c>
      <c r="B19" s="38">
        <f>aantalw2001_ander</f>
        <v>2</v>
      </c>
      <c r="C19" s="169" t="s">
        <v>111</v>
      </c>
      <c r="D19" s="232"/>
      <c r="E19" s="16"/>
    </row>
    <row r="20" spans="1:7">
      <c r="A20" s="174" t="s">
        <v>73</v>
      </c>
      <c r="B20" s="38">
        <f>aantalw2001_propaan</f>
        <v>32</v>
      </c>
      <c r="C20" s="170">
        <f>IF(ISERROR(B20/SUM($B$20,$B$21,$B$22)*100),0,B20/SUM($B$20,$B$21,$B$22)*100)</f>
        <v>7.0484581497797363</v>
      </c>
      <c r="D20" s="232"/>
      <c r="E20" s="16"/>
    </row>
    <row r="21" spans="1:7">
      <c r="A21" s="174" t="s">
        <v>74</v>
      </c>
      <c r="B21" s="38">
        <f>aantalw2001_elektriciteit</f>
        <v>376</v>
      </c>
      <c r="C21" s="170">
        <f>IF(ISERROR(B21/SUM($B$20,$B$21,$B$22)*100),0,B21/SUM($B$20,$B$21,$B$22)*100)</f>
        <v>82.819383259911888</v>
      </c>
      <c r="D21" s="232"/>
      <c r="E21" s="16"/>
    </row>
    <row r="22" spans="1:7">
      <c r="A22" s="174" t="s">
        <v>75</v>
      </c>
      <c r="B22" s="38">
        <f>aantalw2001_hout</f>
        <v>46</v>
      </c>
      <c r="C22" s="170">
        <f>IF(ISERROR(B22/SUM($B$20,$B$21,$B$22)*100),0,B22/SUM($B$20,$B$21,$B$22)*100)</f>
        <v>10.13215859030837</v>
      </c>
      <c r="D22" s="232"/>
      <c r="E22" s="16"/>
    </row>
    <row r="23" spans="1:7">
      <c r="A23" s="174" t="s">
        <v>76</v>
      </c>
      <c r="B23" s="38">
        <f>aantalw2001_niet_gespec</f>
        <v>41</v>
      </c>
      <c r="C23" s="169" t="s">
        <v>111</v>
      </c>
      <c r="D23" s="231"/>
      <c r="E23" s="16"/>
    </row>
    <row r="24" spans="1:7">
      <c r="A24" s="174" t="s">
        <v>77</v>
      </c>
      <c r="B24" s="38">
        <f>aantalw2001_steenkool</f>
        <v>57</v>
      </c>
      <c r="C24" s="169" t="s">
        <v>111</v>
      </c>
      <c r="D24" s="232"/>
      <c r="E24" s="16"/>
    </row>
    <row r="25" spans="1:7">
      <c r="A25" s="174" t="s">
        <v>78</v>
      </c>
      <c r="B25" s="38">
        <f>aantalw2001_stookolie</f>
        <v>856</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5002</v>
      </c>
      <c r="C28" s="37"/>
      <c r="D28" s="231"/>
    </row>
    <row r="29" spans="1:7" s="16" customFormat="1">
      <c r="A29" s="233" t="s">
        <v>666</v>
      </c>
      <c r="B29" s="38">
        <f>SUM(HH_hh_gas_aantal,HH_rest_gas_aantal)</f>
        <v>4048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4048</v>
      </c>
      <c r="C32" s="170">
        <f>IF(ISERROR(B32/SUM($B$32,$B$34,$B$35,$B$36,$B$38,$B$39)*100),0,B32/SUM($B$32,$B$34,$B$35,$B$36,$B$38,$B$39)*100)</f>
        <v>81.041041041041041</v>
      </c>
      <c r="D32" s="236"/>
      <c r="G32" s="16"/>
    </row>
    <row r="33" spans="1:7">
      <c r="A33" s="174" t="s">
        <v>72</v>
      </c>
      <c r="B33" s="35" t="s">
        <v>111</v>
      </c>
      <c r="C33" s="170"/>
      <c r="D33" s="236"/>
      <c r="G33" s="16"/>
    </row>
    <row r="34" spans="1:7">
      <c r="A34" s="174" t="s">
        <v>73</v>
      </c>
      <c r="B34" s="34">
        <f>IF((($B$28-$B$32-$B$39-$B$77-$B$38)*C20/100)&lt;0,0,($B$28-$B$32-$B$39-$B$77-$B$38)*C20/100)</f>
        <v>66.748898678414108</v>
      </c>
      <c r="C34" s="170">
        <f>IF(ISERROR(B34/SUM($B$32,$B$34,$B$35,$B$36,$B$38,$B$39)*100),0,B34/SUM($B$32,$B$34,$B$35,$B$36,$B$38,$B$39)*100)</f>
        <v>1.3363142878561383</v>
      </c>
      <c r="D34" s="236"/>
      <c r="G34" s="16"/>
    </row>
    <row r="35" spans="1:7">
      <c r="A35" s="174" t="s">
        <v>74</v>
      </c>
      <c r="B35" s="34">
        <f>IF((($B$28-$B$32-$B$39-$B$77-$B$38)*C21/100)&lt;0,0,($B$28-$B$32-$B$39-$B$77-$B$38)*C21/100)</f>
        <v>784.29955947136568</v>
      </c>
      <c r="C35" s="170">
        <f>IF(ISERROR(B35/SUM($B$32,$B$34,$B$35,$B$36,$B$38,$B$39)*100),0,B35/SUM($B$32,$B$34,$B$35,$B$36,$B$38,$B$39)*100)</f>
        <v>15.701692882309622</v>
      </c>
      <c r="D35" s="236"/>
      <c r="G35" s="16"/>
    </row>
    <row r="36" spans="1:7">
      <c r="A36" s="174" t="s">
        <v>75</v>
      </c>
      <c r="B36" s="34">
        <f>IF((($B$28-$B$32-$B$39-$B$77-$B$38)*C22/100)&lt;0,0,($B$28-$B$32-$B$39-$B$77-$B$38)*C22/100)</f>
        <v>95.951541850220252</v>
      </c>
      <c r="C36" s="170">
        <f>IF(ISERROR(B36/SUM($B$32,$B$34,$B$35,$B$36,$B$38,$B$39)*100),0,B36/SUM($B$32,$B$34,$B$35,$B$36,$B$38,$B$39)*100)</f>
        <v>1.9209517887931984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4048</v>
      </c>
      <c r="C44" s="35" t="s">
        <v>111</v>
      </c>
      <c r="D44" s="177"/>
    </row>
    <row r="45" spans="1:7">
      <c r="A45" s="174" t="s">
        <v>72</v>
      </c>
      <c r="B45" s="34" t="str">
        <f t="shared" si="0"/>
        <v>-</v>
      </c>
      <c r="C45" s="35" t="s">
        <v>111</v>
      </c>
      <c r="D45" s="177"/>
    </row>
    <row r="46" spans="1:7">
      <c r="A46" s="174" t="s">
        <v>73</v>
      </c>
      <c r="B46" s="34">
        <f t="shared" si="0"/>
        <v>66.748898678414108</v>
      </c>
      <c r="C46" s="35" t="s">
        <v>111</v>
      </c>
      <c r="D46" s="177"/>
    </row>
    <row r="47" spans="1:7">
      <c r="A47" s="174" t="s">
        <v>74</v>
      </c>
      <c r="B47" s="34">
        <f t="shared" si="0"/>
        <v>784.29955947136568</v>
      </c>
      <c r="C47" s="35" t="s">
        <v>111</v>
      </c>
      <c r="D47" s="177"/>
    </row>
    <row r="48" spans="1:7">
      <c r="A48" s="174" t="s">
        <v>75</v>
      </c>
      <c r="B48" s="34">
        <f t="shared" si="0"/>
        <v>95.951541850220252</v>
      </c>
      <c r="C48" s="34">
        <f>B48*10</f>
        <v>959.51541850220246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29493.551599093647</v>
      </c>
      <c r="C5" s="18">
        <f>IF(ISERROR('Eigen informatie GS &amp; warmtenet'!B58),0,'Eigen informatie GS &amp; warmtenet'!B58)</f>
        <v>0</v>
      </c>
      <c r="D5" s="31">
        <f>SUM(D6:D12)</f>
        <v>36736.281554517227</v>
      </c>
      <c r="E5" s="18">
        <f>SUM(E6:E12)</f>
        <v>207.86991792995144</v>
      </c>
      <c r="F5" s="18">
        <f>SUM(F6:F12)</f>
        <v>5827.8700788036722</v>
      </c>
      <c r="G5" s="19"/>
      <c r="H5" s="18"/>
      <c r="I5" s="18"/>
      <c r="J5" s="18">
        <f>SUM(J6:J12)</f>
        <v>0</v>
      </c>
      <c r="K5" s="18"/>
      <c r="L5" s="18"/>
      <c r="M5" s="18"/>
      <c r="N5" s="18">
        <f>SUM(N6:N12)</f>
        <v>1562.5334731023297</v>
      </c>
      <c r="O5" s="18">
        <f>B38*B39*B40</f>
        <v>0</v>
      </c>
      <c r="P5" s="18">
        <f>B46*B47*B48/1000-B46*B47*B48/1000/B49</f>
        <v>0</v>
      </c>
      <c r="R5" s="33"/>
    </row>
    <row r="6" spans="1:18">
      <c r="A6" s="33" t="s">
        <v>54</v>
      </c>
      <c r="B6" s="38">
        <f>B26</f>
        <v>5507.3984671974495</v>
      </c>
      <c r="C6" s="34"/>
      <c r="D6" s="38">
        <f>IF(ISERROR(TER_kantoor_gas_kWh/1000),0,TER_kantoor_gas_kWh/1000)*0.902</f>
        <v>7877.1084794100479</v>
      </c>
      <c r="E6" s="34">
        <f>$C$26*'E Balans VL '!I12/100/3.6*1000000</f>
        <v>9.0387571013310222</v>
      </c>
      <c r="F6" s="34">
        <f>$C$26*('E Balans VL '!L12+'E Balans VL '!N12)/100/3.6*1000000</f>
        <v>649.19269723354023</v>
      </c>
      <c r="G6" s="35"/>
      <c r="H6" s="34"/>
      <c r="I6" s="34"/>
      <c r="J6" s="34">
        <f>$C$26*('E Balans VL '!D12+'E Balans VL '!E12)/100/3.6*1000000</f>
        <v>0</v>
      </c>
      <c r="K6" s="34"/>
      <c r="L6" s="34"/>
      <c r="M6" s="34"/>
      <c r="N6" s="34">
        <f>$C$26*'E Balans VL '!Y12/100/3.6*1000000</f>
        <v>1.1127437806304281</v>
      </c>
      <c r="O6" s="34"/>
      <c r="P6" s="34"/>
      <c r="R6" s="33"/>
    </row>
    <row r="7" spans="1:18">
      <c r="A7" s="33" t="s">
        <v>53</v>
      </c>
      <c r="B7" s="38">
        <f t="shared" ref="B7:B12" si="0">B27</f>
        <v>997.94959915319509</v>
      </c>
      <c r="C7" s="34"/>
      <c r="D7" s="38">
        <f>IF(ISERROR(TER_horeca_gas_kWh/1000),0,TER_horeca_gas_kWh/1000)*0.902</f>
        <v>1796.4547165215295</v>
      </c>
      <c r="E7" s="34">
        <f>$C$27*'E Balans VL '!I9/100/3.6*1000000</f>
        <v>51.786362878220899</v>
      </c>
      <c r="F7" s="34">
        <f>$C$27*('E Balans VL '!L9+'E Balans VL '!N9)/100/3.6*1000000</f>
        <v>227.7328226425771</v>
      </c>
      <c r="G7" s="35"/>
      <c r="H7" s="34"/>
      <c r="I7" s="34"/>
      <c r="J7" s="34">
        <f>$C$27*('E Balans VL '!D9+'E Balans VL '!E9)/100/3.6*1000000</f>
        <v>0</v>
      </c>
      <c r="K7" s="34"/>
      <c r="L7" s="34"/>
      <c r="M7" s="34"/>
      <c r="N7" s="34">
        <f>$C$27*'E Balans VL '!Y9/100/3.6*1000000</f>
        <v>0.10538302034022147</v>
      </c>
      <c r="O7" s="34"/>
      <c r="P7" s="34"/>
      <c r="R7" s="33"/>
    </row>
    <row r="8" spans="1:18">
      <c r="A8" s="6" t="s">
        <v>52</v>
      </c>
      <c r="B8" s="38">
        <f t="shared" si="0"/>
        <v>13410.132520428799</v>
      </c>
      <c r="C8" s="34"/>
      <c r="D8" s="38">
        <f>IF(ISERROR(TER_handel_gas_kWh/1000),0,TER_handel_gas_kWh/1000)*0.902</f>
        <v>9596.9269260071269</v>
      </c>
      <c r="E8" s="34">
        <f>$C$28*'E Balans VL '!I13/100/3.6*1000000</f>
        <v>72.215211508774061</v>
      </c>
      <c r="F8" s="34">
        <f>$C$28*('E Balans VL '!L13+'E Balans VL '!N13)/100/3.6*1000000</f>
        <v>2734.724534161141</v>
      </c>
      <c r="G8" s="35"/>
      <c r="H8" s="34"/>
      <c r="I8" s="34"/>
      <c r="J8" s="34">
        <f>$C$28*('E Balans VL '!D13+'E Balans VL '!E13)/100/3.6*1000000</f>
        <v>0</v>
      </c>
      <c r="K8" s="34"/>
      <c r="L8" s="34"/>
      <c r="M8" s="34"/>
      <c r="N8" s="34">
        <f>$C$28*'E Balans VL '!Y13/100/3.6*1000000</f>
        <v>66.681507336002866</v>
      </c>
      <c r="O8" s="34"/>
      <c r="P8" s="34"/>
      <c r="R8" s="33"/>
    </row>
    <row r="9" spans="1:18">
      <c r="A9" s="33" t="s">
        <v>51</v>
      </c>
      <c r="B9" s="38">
        <f t="shared" si="0"/>
        <v>805.52712470127597</v>
      </c>
      <c r="C9" s="34"/>
      <c r="D9" s="38">
        <f>IF(ISERROR(TER_gezond_gas_kWh/1000),0,TER_gezond_gas_kWh/1000)*0.902</f>
        <v>1882.3834023922843</v>
      </c>
      <c r="E9" s="34">
        <f>$C$29*'E Balans VL '!I10/100/3.6*1000000</f>
        <v>0.79828654099551499</v>
      </c>
      <c r="F9" s="34">
        <f>$C$29*('E Balans VL '!L10+'E Balans VL '!N10)/100/3.6*1000000</f>
        <v>279.49469384273323</v>
      </c>
      <c r="G9" s="35"/>
      <c r="H9" s="34"/>
      <c r="I9" s="34"/>
      <c r="J9" s="34">
        <f>$C$29*('E Balans VL '!D10+'E Balans VL '!E10)/100/3.6*1000000</f>
        <v>0</v>
      </c>
      <c r="K9" s="34"/>
      <c r="L9" s="34"/>
      <c r="M9" s="34"/>
      <c r="N9" s="34">
        <f>$C$29*'E Balans VL '!Y10/100/3.6*1000000</f>
        <v>6.94115745107064</v>
      </c>
      <c r="O9" s="34"/>
      <c r="P9" s="34"/>
      <c r="R9" s="33"/>
    </row>
    <row r="10" spans="1:18">
      <c r="A10" s="33" t="s">
        <v>50</v>
      </c>
      <c r="B10" s="38">
        <f t="shared" si="0"/>
        <v>1796.2032668603601</v>
      </c>
      <c r="C10" s="34"/>
      <c r="D10" s="38">
        <f>IF(ISERROR(TER_ander_gas_kWh/1000),0,TER_ander_gas_kWh/1000)*0.902</f>
        <v>1280.9220713273105</v>
      </c>
      <c r="E10" s="34">
        <f>$C$30*'E Balans VL '!I14/100/3.6*1000000</f>
        <v>14.694737900234326</v>
      </c>
      <c r="F10" s="34">
        <f>$C$30*('E Balans VL '!L14+'E Balans VL '!N14)/100/3.6*1000000</f>
        <v>525.1367087663333</v>
      </c>
      <c r="G10" s="35"/>
      <c r="H10" s="34"/>
      <c r="I10" s="34"/>
      <c r="J10" s="34">
        <f>$C$30*('E Balans VL '!D14+'E Balans VL '!E14)/100/3.6*1000000</f>
        <v>0</v>
      </c>
      <c r="K10" s="34"/>
      <c r="L10" s="34"/>
      <c r="M10" s="34"/>
      <c r="N10" s="34">
        <f>$C$30*'E Balans VL '!Y14/100/3.6*1000000</f>
        <v>1036.1736031960181</v>
      </c>
      <c r="O10" s="34"/>
      <c r="P10" s="34"/>
      <c r="R10" s="33"/>
    </row>
    <row r="11" spans="1:18">
      <c r="A11" s="33" t="s">
        <v>55</v>
      </c>
      <c r="B11" s="38">
        <f t="shared" si="0"/>
        <v>117.32299999999999</v>
      </c>
      <c r="C11" s="34"/>
      <c r="D11" s="38">
        <f>IF(ISERROR(TER_onderwijs_gas_kWh/1000),0,TER_onderwijs_gas_kWh/1000)*0.902</f>
        <v>0</v>
      </c>
      <c r="E11" s="34">
        <f>$C$31*'E Balans VL '!I11/100/3.6*1000000</f>
        <v>7.2312946851150361E-2</v>
      </c>
      <c r="F11" s="34">
        <f>$C$31*('E Balans VL '!L11+'E Balans VL '!N11)/100/3.6*1000000</f>
        <v>45.358971807188006</v>
      </c>
      <c r="G11" s="35"/>
      <c r="H11" s="34"/>
      <c r="I11" s="34"/>
      <c r="J11" s="34">
        <f>$C$31*('E Balans VL '!D11+'E Balans VL '!E11)/100/3.6*1000000</f>
        <v>0</v>
      </c>
      <c r="K11" s="34"/>
      <c r="L11" s="34"/>
      <c r="M11" s="34"/>
      <c r="N11" s="34">
        <f>$C$31*'E Balans VL '!Y11/100/3.6*1000000</f>
        <v>0.38162657721791327</v>
      </c>
      <c r="O11" s="34"/>
      <c r="P11" s="34"/>
      <c r="R11" s="33"/>
    </row>
    <row r="12" spans="1:18">
      <c r="A12" s="33" t="s">
        <v>260</v>
      </c>
      <c r="B12" s="38">
        <f t="shared" si="0"/>
        <v>6859.0176207525701</v>
      </c>
      <c r="C12" s="34"/>
      <c r="D12" s="38">
        <f>IF(ISERROR(TER_rest_gas_kWh/1000),0,TER_rest_gas_kWh/1000)*0.902</f>
        <v>14302.485958858932</v>
      </c>
      <c r="E12" s="34">
        <f>$C$32*'E Balans VL '!I8/100/3.6*1000000</f>
        <v>59.264249053544447</v>
      </c>
      <c r="F12" s="34">
        <f>$C$32*('E Balans VL '!L8+'E Balans VL '!N8)/100/3.6*1000000</f>
        <v>1366.2296503501593</v>
      </c>
      <c r="G12" s="35"/>
      <c r="H12" s="34"/>
      <c r="I12" s="34"/>
      <c r="J12" s="34">
        <f>$C$32*('E Balans VL '!D8+'E Balans VL '!E8)/100/3.6*1000000</f>
        <v>0</v>
      </c>
      <c r="K12" s="34"/>
      <c r="L12" s="34"/>
      <c r="M12" s="34"/>
      <c r="N12" s="34">
        <f>$C$32*'E Balans VL '!Y8/100/3.6*1000000</f>
        <v>451.13745174104946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29493.551599093647</v>
      </c>
      <c r="C16" s="22">
        <f t="shared" ca="1" si="1"/>
        <v>0</v>
      </c>
      <c r="D16" s="22">
        <f t="shared" ca="1" si="1"/>
        <v>36736.281554517227</v>
      </c>
      <c r="E16" s="22">
        <f t="shared" si="1"/>
        <v>207.86991792995144</v>
      </c>
      <c r="F16" s="22">
        <f t="shared" ca="1" si="1"/>
        <v>5827.8700788036722</v>
      </c>
      <c r="G16" s="22">
        <f t="shared" si="1"/>
        <v>0</v>
      </c>
      <c r="H16" s="22">
        <f t="shared" si="1"/>
        <v>0</v>
      </c>
      <c r="I16" s="22">
        <f t="shared" si="1"/>
        <v>0</v>
      </c>
      <c r="J16" s="22">
        <f t="shared" si="1"/>
        <v>0</v>
      </c>
      <c r="K16" s="22">
        <f t="shared" si="1"/>
        <v>0</v>
      </c>
      <c r="L16" s="22">
        <f t="shared" ca="1" si="1"/>
        <v>0</v>
      </c>
      <c r="M16" s="22">
        <f t="shared" si="1"/>
        <v>0</v>
      </c>
      <c r="N16" s="22">
        <f t="shared" ca="1" si="1"/>
        <v>1562.5334731023297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0.21615688087465687</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6375.2341195758308</v>
      </c>
      <c r="C20" s="24">
        <f t="shared" ref="C20:P20" ca="1" si="2">C16*C18</f>
        <v>0</v>
      </c>
      <c r="D20" s="24">
        <f t="shared" ca="1" si="2"/>
        <v>7420.7288740124804</v>
      </c>
      <c r="E20" s="24">
        <f t="shared" si="2"/>
        <v>47.186471370098978</v>
      </c>
      <c r="F20" s="24">
        <f t="shared" ca="1" si="2"/>
        <v>1556.0413110405805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5507.3984671974495</v>
      </c>
      <c r="C26" s="40">
        <f>IF(ISERROR(B26*3.6/1000000/'E Balans VL '!Z12*100),0,B26*3.6/1000000/'E Balans VL '!Z12*100)</f>
        <v>0.11702826790153495</v>
      </c>
      <c r="D26" s="240" t="s">
        <v>707</v>
      </c>
      <c r="F26" s="6"/>
    </row>
    <row r="27" spans="1:18">
      <c r="A27" s="234" t="s">
        <v>53</v>
      </c>
      <c r="B27" s="34">
        <f>IF(ISERROR(TER_horeca_ele_kWh/1000),0,TER_horeca_ele_kWh/1000)</f>
        <v>997.94959915319509</v>
      </c>
      <c r="C27" s="40">
        <f>IF(ISERROR(B27*3.6/1000000/'E Balans VL '!Z9*100),0,B27*3.6/1000000/'E Balans VL '!Z9*100)</f>
        <v>7.8546350564140222E-2</v>
      </c>
      <c r="D27" s="240" t="s">
        <v>707</v>
      </c>
      <c r="F27" s="6"/>
    </row>
    <row r="28" spans="1:18">
      <c r="A28" s="174" t="s">
        <v>52</v>
      </c>
      <c r="B28" s="34">
        <f>IF(ISERROR(TER_handel_ele_kWh/1000),0,TER_handel_ele_kWh/1000)</f>
        <v>13410.132520428799</v>
      </c>
      <c r="C28" s="40">
        <f>IF(ISERROR(B28*3.6/1000000/'E Balans VL '!Z13*100),0,B28*3.6/1000000/'E Balans VL '!Z13*100)</f>
        <v>0.37562498871679684</v>
      </c>
      <c r="D28" s="240" t="s">
        <v>707</v>
      </c>
      <c r="F28" s="6"/>
    </row>
    <row r="29" spans="1:18">
      <c r="A29" s="234" t="s">
        <v>51</v>
      </c>
      <c r="B29" s="34">
        <f>IF(ISERROR(TER_gezond_ele_kWh/1000),0,TER_gezond_ele_kWh/1000)</f>
        <v>805.52712470127597</v>
      </c>
      <c r="C29" s="40">
        <f>IF(ISERROR(B29*3.6/1000000/'E Balans VL '!Z10*100),0,B29*3.6/1000000/'E Balans VL '!Z10*100)</f>
        <v>0.10305127740853411</v>
      </c>
      <c r="D29" s="240" t="s">
        <v>707</v>
      </c>
      <c r="F29" s="6"/>
    </row>
    <row r="30" spans="1:18">
      <c r="A30" s="234" t="s">
        <v>50</v>
      </c>
      <c r="B30" s="34">
        <f>IF(ISERROR(TER_ander_ele_kWh/1000),0,TER_ander_ele_kWh/1000)</f>
        <v>1796.2032668603601</v>
      </c>
      <c r="C30" s="40">
        <f>IF(ISERROR(B30*3.6/1000000/'E Balans VL '!Z14*100),0,B30*3.6/1000000/'E Balans VL '!Z14*100)</f>
        <v>0.13434086928803529</v>
      </c>
      <c r="D30" s="240" t="s">
        <v>707</v>
      </c>
      <c r="F30" s="6"/>
    </row>
    <row r="31" spans="1:18">
      <c r="A31" s="234" t="s">
        <v>55</v>
      </c>
      <c r="B31" s="34">
        <f>IF(ISERROR(TER_onderwijs_ele_kWh/1000),0,TER_onderwijs_ele_kWh/1000)</f>
        <v>117.32299999999999</v>
      </c>
      <c r="C31" s="40">
        <f>IF(ISERROR(B31*3.6/1000000/'E Balans VL '!Z11*100),0,B31*3.6/1000000/'E Balans VL '!Z11*100)</f>
        <v>2.4772903422130042E-2</v>
      </c>
      <c r="D31" s="240" t="s">
        <v>707</v>
      </c>
    </row>
    <row r="32" spans="1:18">
      <c r="A32" s="234" t="s">
        <v>260</v>
      </c>
      <c r="B32" s="34">
        <f>IF(ISERROR(TER_rest_ele_kWh/1000),0,TER_rest_ele_kWh/1000)</f>
        <v>6859.0176207525701</v>
      </c>
      <c r="C32" s="40">
        <f>IF(ISERROR(B32*3.6/1000000/'E Balans VL '!Z8*100),0,B32*3.6/1000000/'E Balans VL '!Z8*100)</f>
        <v>5.650412119541328E-2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29700.516496243257</v>
      </c>
      <c r="C5" s="18">
        <f>IF(ISERROR('Eigen informatie GS &amp; warmtenet'!B59),0,'Eigen informatie GS &amp; warmtenet'!B59)</f>
        <v>0</v>
      </c>
      <c r="D5" s="31">
        <f>SUM(D6:D15)</f>
        <v>72301.274327942418</v>
      </c>
      <c r="E5" s="18">
        <f>SUM(E6:E15)</f>
        <v>359.3595458946786</v>
      </c>
      <c r="F5" s="18">
        <f>SUM(F6:F15)</f>
        <v>4744.3999111504136</v>
      </c>
      <c r="G5" s="19"/>
      <c r="H5" s="18"/>
      <c r="I5" s="18"/>
      <c r="J5" s="18">
        <f>SUM(J6:J15)</f>
        <v>36.802328541148491</v>
      </c>
      <c r="K5" s="18"/>
      <c r="L5" s="18"/>
      <c r="M5" s="18"/>
      <c r="N5" s="18">
        <f>SUM(N6:N15)</f>
        <v>1710.3334270321366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635.43861119563508</v>
      </c>
      <c r="C8" s="34"/>
      <c r="D8" s="38">
        <f>IF( ISERROR(IND_metaal_Gas_kWH/1000),0,IND_metaal_Gas_kWH/1000)*0.902</f>
        <v>43373.81935079152</v>
      </c>
      <c r="E8" s="34">
        <f>C30*'E Balans VL '!I18/100/3.6*1000000</f>
        <v>5.7868249182704261</v>
      </c>
      <c r="F8" s="34">
        <f>C30*'E Balans VL '!L18/100/3.6*1000000+C30*'E Balans VL '!N18/100/3.6*1000000</f>
        <v>83.809527213008494</v>
      </c>
      <c r="G8" s="35"/>
      <c r="H8" s="34"/>
      <c r="I8" s="34"/>
      <c r="J8" s="41">
        <f>C30*'E Balans VL '!D18/100/3.6*1000000+C30*'E Balans VL '!E18/100/3.6*1000000</f>
        <v>10.420270599967642</v>
      </c>
      <c r="K8" s="34"/>
      <c r="L8" s="34"/>
      <c r="M8" s="34"/>
      <c r="N8" s="34">
        <f>C30*'E Balans VL '!Y18/100/3.6*1000000</f>
        <v>2.1837500793386257</v>
      </c>
      <c r="O8" s="34"/>
      <c r="P8" s="34"/>
      <c r="R8" s="33"/>
    </row>
    <row r="9" spans="1:18">
      <c r="A9" s="6" t="s">
        <v>33</v>
      </c>
      <c r="B9" s="38">
        <f t="shared" si="0"/>
        <v>1188.24017135549</v>
      </c>
      <c r="C9" s="34"/>
      <c r="D9" s="38">
        <f>IF( ISERROR(IND_andere_gas_kWh/1000),0,IND_andere_gas_kWh/1000)*0.902</f>
        <v>1285.2975856408507</v>
      </c>
      <c r="E9" s="34">
        <f>C31*'E Balans VL '!I19/100/3.6*1000000</f>
        <v>6.868205758241178</v>
      </c>
      <c r="F9" s="34">
        <f>C31*'E Balans VL '!L19/100/3.6*1000000+C31*'E Balans VL '!N19/100/3.6*1000000</f>
        <v>945.3022321678061</v>
      </c>
      <c r="G9" s="35"/>
      <c r="H9" s="34"/>
      <c r="I9" s="34"/>
      <c r="J9" s="41">
        <f>C31*'E Balans VL '!D19/100/3.6*1000000+C31*'E Balans VL '!E19/100/3.6*1000000</f>
        <v>0.11239432161224035</v>
      </c>
      <c r="K9" s="34"/>
      <c r="L9" s="34"/>
      <c r="M9" s="34"/>
      <c r="N9" s="34">
        <f>C31*'E Balans VL '!Y19/100/3.6*1000000</f>
        <v>90.027174983778863</v>
      </c>
      <c r="O9" s="34"/>
      <c r="P9" s="34"/>
      <c r="R9" s="33"/>
    </row>
    <row r="10" spans="1:18">
      <c r="A10" s="6" t="s">
        <v>41</v>
      </c>
      <c r="B10" s="38">
        <f t="shared" si="0"/>
        <v>19489.647744628601</v>
      </c>
      <c r="C10" s="34"/>
      <c r="D10" s="38">
        <f>IF( ISERROR(IND_voed_gas_kWh/1000),0,IND_voed_gas_kWh/1000)*0.902</f>
        <v>20956.370302473326</v>
      </c>
      <c r="E10" s="34">
        <f>C32*'E Balans VL '!I20/100/3.6*1000000</f>
        <v>191.63422519726947</v>
      </c>
      <c r="F10" s="34">
        <f>C32*'E Balans VL '!L20/100/3.6*1000000+C32*'E Balans VL '!N20/100/3.6*1000000</f>
        <v>2164.5797734823341</v>
      </c>
      <c r="G10" s="35"/>
      <c r="H10" s="34"/>
      <c r="I10" s="34"/>
      <c r="J10" s="41">
        <f>C32*'E Balans VL '!D20/100/3.6*1000000+C32*'E Balans VL '!E20/100/3.6*1000000</f>
        <v>7.6817549529266796E-2</v>
      </c>
      <c r="K10" s="34"/>
      <c r="L10" s="34"/>
      <c r="M10" s="34"/>
      <c r="N10" s="34">
        <f>C32*'E Balans VL '!Y20/100/3.6*1000000</f>
        <v>288.59583861409141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3178.5914508535298</v>
      </c>
      <c r="C13" s="34"/>
      <c r="D13" s="38">
        <f>IF( ISERROR(IND_papier_gas_kWh/1000),0,IND_papier_gas_kWh/1000)*0.902</f>
        <v>3632.4302928878533</v>
      </c>
      <c r="E13" s="34">
        <f>C35*'E Balans VL '!I23/100/3.6*1000000</f>
        <v>108.26743347571357</v>
      </c>
      <c r="F13" s="34">
        <f>C35*'E Balans VL '!L23/100/3.6*1000000+C35*'E Balans VL '!N23/100/3.6*1000000</f>
        <v>525.02870774545761</v>
      </c>
      <c r="G13" s="35"/>
      <c r="H13" s="34"/>
      <c r="I13" s="34"/>
      <c r="J13" s="41">
        <f>C35*'E Balans VL '!D23/100/3.6*1000000+C35*'E Balans VL '!E23/100/3.6*1000000</f>
        <v>0</v>
      </c>
      <c r="K13" s="34"/>
      <c r="L13" s="34"/>
      <c r="M13" s="34"/>
      <c r="N13" s="34">
        <f>C35*'E Balans VL '!Y23/100/3.6*1000000</f>
        <v>1169.6364106994456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5208.5985182100003</v>
      </c>
      <c r="C15" s="34"/>
      <c r="D15" s="38">
        <f>IF( ISERROR(IND_rest_gas_kWh/1000),0,IND_rest_gas_kWh/1000)*0.902</f>
        <v>3053.3567961488575</v>
      </c>
      <c r="E15" s="34">
        <f>C37*'E Balans VL '!I15/100/3.6*1000000</f>
        <v>46.802856545183928</v>
      </c>
      <c r="F15" s="34">
        <f>C37*'E Balans VL '!L15/100/3.6*1000000+C37*'E Balans VL '!N15/100/3.6*1000000</f>
        <v>1025.6796705418074</v>
      </c>
      <c r="G15" s="35"/>
      <c r="H15" s="34"/>
      <c r="I15" s="34"/>
      <c r="J15" s="41">
        <f>C37*'E Balans VL '!D15/100/3.6*1000000+C37*'E Balans VL '!E15/100/3.6*1000000</f>
        <v>26.192846070039341</v>
      </c>
      <c r="K15" s="34"/>
      <c r="L15" s="34"/>
      <c r="M15" s="34"/>
      <c r="N15" s="34">
        <f>C37*'E Balans VL '!Y15/100/3.6*1000000</f>
        <v>159.89025265548199</v>
      </c>
      <c r="O15" s="34"/>
      <c r="P15" s="34"/>
      <c r="R15" s="33"/>
    </row>
    <row r="16" spans="1:18">
      <c r="A16" s="17" t="s">
        <v>502</v>
      </c>
      <c r="B16" s="250">
        <f>'lokale energieproductie'!N89+'lokale energieproductie'!N58</f>
        <v>18891</v>
      </c>
      <c r="C16" s="250">
        <f>'lokale energieproductie'!O89+'lokale energieproductie'!O58</f>
        <v>26987.142857142859</v>
      </c>
      <c r="D16" s="312">
        <f>('lokale energieproductie'!P58+'lokale energieproductie'!P89)*(-1)</f>
        <v>-53974.285714285717</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48591.516496243261</v>
      </c>
      <c r="C18" s="22">
        <f>C5+C16</f>
        <v>26987.142857142859</v>
      </c>
      <c r="D18" s="22">
        <f>MAX((D5+D16),0)</f>
        <v>18326.9886136567</v>
      </c>
      <c r="E18" s="22">
        <f>MAX((E5+E16),0)</f>
        <v>359.3595458946786</v>
      </c>
      <c r="F18" s="22">
        <f>MAX((F5+F16),0)</f>
        <v>4744.3999111504136</v>
      </c>
      <c r="G18" s="22"/>
      <c r="H18" s="22"/>
      <c r="I18" s="22"/>
      <c r="J18" s="22">
        <f>MAX((J5+J16),0)</f>
        <v>36.802328541148491</v>
      </c>
      <c r="K18" s="22"/>
      <c r="L18" s="22">
        <f>MAX((L5+L16),0)</f>
        <v>0</v>
      </c>
      <c r="M18" s="22"/>
      <c r="N18" s="22">
        <f>MAX((N5+N16),0)</f>
        <v>1710.3334270321366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0.21615688087465687</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10503.390642797378</v>
      </c>
      <c r="C22" s="24">
        <f ca="1">C18*C20</f>
        <v>6413.4151260504223</v>
      </c>
      <c r="D22" s="24">
        <f>D18*D20</f>
        <v>3702.0516999586539</v>
      </c>
      <c r="E22" s="24">
        <f>E18*E20</f>
        <v>81.574616918092048</v>
      </c>
      <c r="F22" s="24">
        <f>F18*F20</f>
        <v>1266.7547762771605</v>
      </c>
      <c r="G22" s="24"/>
      <c r="H22" s="24"/>
      <c r="I22" s="24"/>
      <c r="J22" s="24">
        <f>J18*J20</f>
        <v>13.028024303566564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635.43861119563508</v>
      </c>
      <c r="C30" s="40">
        <f>IF(ISERROR(B30*3.6/1000000/'E Balans VL '!Z18*100),0,B30*3.6/1000000/'E Balans VL '!Z18*100)</f>
        <v>3.5357909571500555E-2</v>
      </c>
      <c r="D30" s="240" t="s">
        <v>707</v>
      </c>
    </row>
    <row r="31" spans="1:18">
      <c r="A31" s="6" t="s">
        <v>33</v>
      </c>
      <c r="B31" s="38">
        <f>IF( ISERROR(IND_ander_ele_kWh/1000),0,IND_ander_ele_kWh/1000)</f>
        <v>1188.24017135549</v>
      </c>
      <c r="C31" s="40">
        <f>IF(ISERROR(B31*3.6/1000000/'E Balans VL '!Z19*100),0,B31*3.6/1000000/'E Balans VL '!Z19*100)</f>
        <v>5.5238164887927002E-2</v>
      </c>
      <c r="D31" s="240" t="s">
        <v>707</v>
      </c>
    </row>
    <row r="32" spans="1:18">
      <c r="A32" s="174" t="s">
        <v>41</v>
      </c>
      <c r="B32" s="38">
        <f>IF( ISERROR(IND_voed_ele_kWh/1000),0,IND_voed_ele_kWh/1000)</f>
        <v>19489.647744628601</v>
      </c>
      <c r="C32" s="40">
        <f>IF(ISERROR(B32*3.6/1000000/'E Balans VL '!Z20*100),0,B32*3.6/1000000/'E Balans VL '!Z20*100)</f>
        <v>0.68891968676204474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3178.5914508535298</v>
      </c>
      <c r="C35" s="40">
        <f>IF(ISERROR(B35*3.6/1000000/'E Balans VL '!Z22*100),0,B35*3.6/1000000/'E Balans VL '!Z22*100)</f>
        <v>0.63880724837082414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5208.5985182100003</v>
      </c>
      <c r="C37" s="40">
        <f>IF(ISERROR(B37*3.6/1000000/'E Balans VL '!Z15*100),0,B37*3.6/1000000/'E Balans VL '!Z15*100)</f>
        <v>3.93326130759847E-2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480.08851885548199</v>
      </c>
      <c r="C5" s="18">
        <f>'Eigen informatie GS &amp; warmtenet'!B60</f>
        <v>0</v>
      </c>
      <c r="D5" s="31">
        <f>IF(ISERROR(SUM(LB_lb_gas_kWh,LB_rest_gas_kWh,onbekend_gas_kWh)/1000),0,SUM(LB_lb_gas_kWh,LB_rest_gas_kWh,onbekend_gas_kWh)/1000)*0.902</f>
        <v>13770.408538246858</v>
      </c>
      <c r="E5" s="18">
        <f>B17*'E Balans VL '!I25/3.6*1000000/100</f>
        <v>4.5227555174780418</v>
      </c>
      <c r="F5" s="18">
        <f>B17*('E Balans VL '!L25/3.6*1000000+'E Balans VL '!N25/3.6*1000000)/100</f>
        <v>1566.688164412195</v>
      </c>
      <c r="G5" s="19"/>
      <c r="H5" s="18"/>
      <c r="I5" s="18"/>
      <c r="J5" s="18">
        <f>('E Balans VL '!D25+'E Balans VL '!E25)/3.6*1000000*landbouw!B17/100</f>
        <v>59.389284932530281</v>
      </c>
      <c r="K5" s="18"/>
      <c r="L5" s="18">
        <f>L6*(-1)</f>
        <v>0</v>
      </c>
      <c r="M5" s="18"/>
      <c r="N5" s="18">
        <f>N6*(-1)</f>
        <v>0</v>
      </c>
      <c r="O5" s="18"/>
      <c r="P5" s="18"/>
      <c r="R5" s="33"/>
    </row>
    <row r="6" spans="1:18">
      <c r="A6" s="17" t="s">
        <v>502</v>
      </c>
      <c r="B6" s="18" t="s">
        <v>211</v>
      </c>
      <c r="C6" s="18">
        <f>'lokale energieproductie'!O91+'lokale energieproductie'!O60</f>
        <v>10131.428571428571</v>
      </c>
      <c r="D6" s="312">
        <f>('lokale energieproductie'!P60+'lokale energieproductie'!P91)*(-1)</f>
        <v>-20262.857142857141</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480.08851885548199</v>
      </c>
      <c r="C8" s="22">
        <f>C5+C6</f>
        <v>10131.428571428571</v>
      </c>
      <c r="D8" s="22">
        <f>MAX((D5+D6),0)</f>
        <v>0</v>
      </c>
      <c r="E8" s="22">
        <f>MAX((E5+E6),0)</f>
        <v>4.5227555174780418</v>
      </c>
      <c r="F8" s="22">
        <f>MAX((F5+F6),0)</f>
        <v>1566.688164412195</v>
      </c>
      <c r="G8" s="22"/>
      <c r="H8" s="22"/>
      <c r="I8" s="22"/>
      <c r="J8" s="22">
        <f>MAX((J5+J6),0)</f>
        <v>59.389284932530281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0.21615688087465687</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103.77443677953488</v>
      </c>
      <c r="C12" s="24">
        <f ca="1">C8*C10</f>
        <v>2407.7042016806727</v>
      </c>
      <c r="D12" s="24">
        <f>D8*D10</f>
        <v>0</v>
      </c>
      <c r="E12" s="24">
        <f>E8*E10</f>
        <v>1.0266655024675155</v>
      </c>
      <c r="F12" s="24">
        <f>F8*F10</f>
        <v>418.30573989805606</v>
      </c>
      <c r="G12" s="24"/>
      <c r="H12" s="24"/>
      <c r="I12" s="24"/>
      <c r="J12" s="24">
        <f>J8*J10</f>
        <v>21.023806866115716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6.4996313883737777E-2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5.8077435722369595</v>
      </c>
      <c r="C26" s="250">
        <f>B26*'GWP N2O_CH4'!B5</f>
        <v>121.96261501697614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0.65360142533725996</v>
      </c>
      <c r="C27" s="250">
        <f>B27*'GWP N2O_CH4'!B5</f>
        <v>13.725629932082459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9.4702912676577183E-2</v>
      </c>
      <c r="C28" s="250">
        <f>B28*'GWP N2O_CH4'!B4</f>
        <v>29.357902929738927</v>
      </c>
      <c r="D28" s="51"/>
    </row>
    <row r="29" spans="1:4">
      <c r="A29" s="42" t="s">
        <v>277</v>
      </c>
      <c r="B29" s="250">
        <f>B34*'ha_N2O bodem landbouw'!B4</f>
        <v>1.7373399290542471</v>
      </c>
      <c r="C29" s="250">
        <f>B29*'GWP N2O_CH4'!B4</f>
        <v>538.57537800681655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4.6902708892009119E-4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1.6397856127534479E-5</v>
      </c>
      <c r="C5" s="447" t="s">
        <v>211</v>
      </c>
      <c r="D5" s="432">
        <f>SUM(D6:D11)</f>
        <v>4.2964095612618758E-5</v>
      </c>
      <c r="E5" s="432">
        <f>SUM(E6:E11)</f>
        <v>2.9984585833638657E-3</v>
      </c>
      <c r="F5" s="445" t="s">
        <v>211</v>
      </c>
      <c r="G5" s="432">
        <f>SUM(G6:G11)</f>
        <v>0.77285410699943546</v>
      </c>
      <c r="H5" s="432">
        <f>SUM(H6:H11)</f>
        <v>0.10025974705403197</v>
      </c>
      <c r="I5" s="447" t="s">
        <v>211</v>
      </c>
      <c r="J5" s="447" t="s">
        <v>211</v>
      </c>
      <c r="K5" s="447" t="s">
        <v>211</v>
      </c>
      <c r="L5" s="447" t="s">
        <v>211</v>
      </c>
      <c r="M5" s="432">
        <f>SUM(M6:M11)</f>
        <v>3.9001838529570135E-2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2.8981765487666484E-6</v>
      </c>
      <c r="C6" s="433"/>
      <c r="D6" s="433">
        <f>vkm_2011_GW_PW*SUMIFS(TableVerdeelsleutelVkm[CNG],TableVerdeelsleutelVkm[Voertuigtype],"Lichte voertuigen")*SUMIFS(TableECFTransport[EnergieConsumptieFactor (PJ per km)],TableECFTransport[Index],CONCATENATE($A6,"_CNG_CNG"))</f>
        <v>7.077395668159322E-6</v>
      </c>
      <c r="E6" s="435">
        <f>vkm_2011_GW_PW*SUMIFS(TableVerdeelsleutelVkm[LPG],TableVerdeelsleutelVkm[Voertuigtype],"Lichte voertuigen")*SUMIFS(TableECFTransport[EnergieConsumptieFactor (PJ per km)],TableECFTransport[Index],CONCATENATE($A6,"_LPG_LPG"))</f>
        <v>4.1951144021127299E-4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6.0645313595460749E-2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1.5893394385785093E-2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3.427544298076254E-3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3.3884206407516958E-2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1.3670956251263663E-5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1.5095309117548247E-3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9.539306280395067E-7</v>
      </c>
      <c r="C8" s="433"/>
      <c r="D8" s="435">
        <f>vkm_2011_NGW_PW*SUMIFS(TableVerdeelsleutelVkm[CNG],TableVerdeelsleutelVkm[Voertuigtype],"Lichte voertuigen")*SUMIFS(TableECFTransport[EnergieConsumptieFactor (PJ per km)],TableECFTransport[Index],CONCATENATE($A8,"_CNG_CNG"))</f>
        <v>4.1795449243103083E-6</v>
      </c>
      <c r="E8" s="435">
        <f>vkm_2011_NGW_PW*SUMIFS(TableVerdeelsleutelVkm[LPG],TableVerdeelsleutelVkm[Voertuigtype],"Lichte voertuigen")*SUMIFS(TableECFTransport[EnergieConsumptieFactor (PJ per km)],TableECFTransport[Index],CONCATENATE($A8,"_LPG_LPG"))</f>
        <v>2.2727827969912446E-4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3.103833178544135E-2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8.9878337743812611E-3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1.7932616375284764E-3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1.6308549277926857E-2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5.729058457614239E-6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7.2650191029195732E-4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1.2545748950728324E-5</v>
      </c>
      <c r="C10" s="433"/>
      <c r="D10" s="435">
        <f>vkm_2011_SW_PW*SUMIFS(TableVerdeelsleutelVkm[CNG],TableVerdeelsleutelVkm[Voertuigtype],"Lichte voertuigen")*SUMIFS(TableECFTransport[EnergieConsumptieFactor (PJ per km)],TableECFTransport[Index],CONCATENATE($A10,"_CNG_CNG"))</f>
        <v>3.1707155020149129E-5</v>
      </c>
      <c r="E10" s="435">
        <f>vkm_2011_SW_PW*SUMIFS(TableVerdeelsleutelVkm[LPG],TableVerdeelsleutelVkm[Voertuigtype],"Lichte voertuigen")*SUMIFS(TableECFTransport[EnergieConsumptieFactor (PJ per km)],TableECFTransport[Index],CONCATENATE($A10,"_LPG_LPG"))</f>
        <v>2.3516688634534683E-3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0.30981921979750288</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7.5221646541262455E-2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1.7237127367905111E-2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0.32115848613558662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1.3747233789428097E-4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1.4307872404013513E-2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4.5549600354262445</v>
      </c>
      <c r="C14" s="22"/>
      <c r="D14" s="22">
        <f t="shared" ref="D14:M14" si="0">((D5)*10^9/3600)+D12</f>
        <v>11.934471003505211</v>
      </c>
      <c r="E14" s="22">
        <f t="shared" si="0"/>
        <v>832.9051620455183</v>
      </c>
      <c r="F14" s="22"/>
      <c r="G14" s="22">
        <f t="shared" si="0"/>
        <v>214681.69638873206</v>
      </c>
      <c r="H14" s="22">
        <f t="shared" si="0"/>
        <v>27849.929737231101</v>
      </c>
      <c r="I14" s="22"/>
      <c r="J14" s="22"/>
      <c r="K14" s="22"/>
      <c r="L14" s="22"/>
      <c r="M14" s="22">
        <f t="shared" si="0"/>
        <v>10833.844035991704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0.21615688087465687</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0.98458595376645353</v>
      </c>
      <c r="C18" s="24"/>
      <c r="D18" s="24">
        <f t="shared" ref="D18:M18" si="1">D14*D16</f>
        <v>2.4107631427080527</v>
      </c>
      <c r="E18" s="24">
        <f t="shared" si="1"/>
        <v>189.06947178433265</v>
      </c>
      <c r="F18" s="24"/>
      <c r="G18" s="24">
        <f t="shared" si="1"/>
        <v>57320.012935791463</v>
      </c>
      <c r="H18" s="24">
        <f t="shared" si="1"/>
        <v>6934.6325045705444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8.9226448671033461E-3</v>
      </c>
      <c r="H50" s="323">
        <f t="shared" si="2"/>
        <v>0</v>
      </c>
      <c r="I50" s="323">
        <f t="shared" si="2"/>
        <v>0</v>
      </c>
      <c r="J50" s="323">
        <f t="shared" si="2"/>
        <v>0</v>
      </c>
      <c r="K50" s="323">
        <f t="shared" si="2"/>
        <v>0</v>
      </c>
      <c r="L50" s="323">
        <f t="shared" si="2"/>
        <v>0</v>
      </c>
      <c r="M50" s="323">
        <f t="shared" si="2"/>
        <v>3.9180805493789462E-4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8.9226448671033461E-3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3.9180805493789462E-4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2478.5124630842629</v>
      </c>
      <c r="H54" s="22">
        <f t="shared" si="3"/>
        <v>0</v>
      </c>
      <c r="I54" s="22">
        <f t="shared" si="3"/>
        <v>0</v>
      </c>
      <c r="J54" s="22">
        <f t="shared" si="3"/>
        <v>0</v>
      </c>
      <c r="K54" s="22">
        <f t="shared" si="3"/>
        <v>0</v>
      </c>
      <c r="L54" s="22">
        <f t="shared" si="3"/>
        <v>0</v>
      </c>
      <c r="M54" s="22">
        <f t="shared" si="3"/>
        <v>108.83557081608184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0.21615688087465687</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661.76282764349821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4196.0385829794113</v>
      </c>
      <c r="C6" s="1135"/>
      <c r="D6" s="1138"/>
      <c r="E6" s="1138"/>
      <c r="F6" s="1141"/>
      <c r="G6" s="1144"/>
      <c r="H6" s="1132"/>
      <c r="I6" s="1138"/>
      <c r="J6" s="1138"/>
      <c r="K6" s="1138"/>
      <c r="L6" s="1168"/>
      <c r="M6" s="560"/>
      <c r="N6" s="1180"/>
      <c r="O6" s="1181"/>
      <c r="Q6" s="558"/>
      <c r="R6" s="1165"/>
      <c r="S6" s="1165"/>
    </row>
    <row r="7" spans="1:19" s="548" customFormat="1">
      <c r="A7" s="561" t="s">
        <v>252</v>
      </c>
      <c r="B7" s="562">
        <f>N57</f>
        <v>25983</v>
      </c>
      <c r="C7" s="563">
        <f>B100</f>
        <v>30568.235294117643</v>
      </c>
      <c r="D7" s="564"/>
      <c r="E7" s="564">
        <f>E100</f>
        <v>0</v>
      </c>
      <c r="F7" s="565"/>
      <c r="G7" s="566"/>
      <c r="H7" s="564">
        <f>I100</f>
        <v>0</v>
      </c>
      <c r="I7" s="564">
        <f>G100+F100</f>
        <v>0</v>
      </c>
      <c r="J7" s="564">
        <f>H100+D100+C100</f>
        <v>0</v>
      </c>
      <c r="K7" s="564"/>
      <c r="L7" s="567"/>
      <c r="M7" s="568">
        <f>C7*$C$11+D7*$D$11+E7*$E$11+F7*$F$11+G7*$G$11+H7*$H$11+I7*$I$11+J7*$J$11</f>
        <v>6174.783529411764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30179.03858297941</v>
      </c>
      <c r="C9" s="579">
        <f t="shared" ref="C9:L9" si="0">SUM(C7:C8)</f>
        <v>30568.235294117643</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6174.783529411764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37118.571428571428</v>
      </c>
      <c r="C16" s="595">
        <f>B101</f>
        <v>43668.907563025212</v>
      </c>
      <c r="D16" s="596"/>
      <c r="E16" s="596">
        <f>E101</f>
        <v>0</v>
      </c>
      <c r="F16" s="597"/>
      <c r="G16" s="598"/>
      <c r="H16" s="595">
        <f>I101</f>
        <v>0</v>
      </c>
      <c r="I16" s="596">
        <f>G101+F101</f>
        <v>0</v>
      </c>
      <c r="J16" s="596">
        <f>H101+D101+C101</f>
        <v>0</v>
      </c>
      <c r="K16" s="596"/>
      <c r="L16" s="599"/>
      <c r="M16" s="600">
        <f>C16*$C$21+E16*$E$21+H16*$H$21+I16*$I$21+J16*$J$21+D16*$D$21+F16*$F$21+G16*$G$21+K16*$K$21+L16*$L$21</f>
        <v>8821.119327731094</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37118.571428571428</v>
      </c>
      <c r="C19" s="578">
        <f>SUM(C16:C18)</f>
        <v>43668.907563025212</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8821.119327731094</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11052</v>
      </c>
      <c r="C27" s="840">
        <v>2160</v>
      </c>
      <c r="D27" s="657" t="s">
        <v>877</v>
      </c>
      <c r="E27" s="656" t="s">
        <v>878</v>
      </c>
      <c r="F27" s="656" t="s">
        <v>879</v>
      </c>
      <c r="G27" s="656" t="s">
        <v>880</v>
      </c>
      <c r="H27" s="656" t="s">
        <v>881</v>
      </c>
      <c r="I27" s="656" t="s">
        <v>878</v>
      </c>
      <c r="J27" s="839">
        <v>39750</v>
      </c>
      <c r="K27" s="839">
        <v>39750</v>
      </c>
      <c r="L27" s="656" t="s">
        <v>882</v>
      </c>
      <c r="M27" s="656">
        <v>290</v>
      </c>
      <c r="N27" s="656">
        <v>1305</v>
      </c>
      <c r="O27" s="656">
        <v>1864.2857142857142</v>
      </c>
      <c r="P27" s="656">
        <v>3728.5714285714289</v>
      </c>
      <c r="Q27" s="656">
        <v>0</v>
      </c>
      <c r="R27" s="656">
        <v>0</v>
      </c>
      <c r="S27" s="656">
        <v>0</v>
      </c>
      <c r="T27" s="656">
        <v>0</v>
      </c>
      <c r="U27" s="656">
        <v>0</v>
      </c>
      <c r="V27" s="656">
        <v>0</v>
      </c>
      <c r="W27" s="656"/>
      <c r="X27" s="656">
        <v>10</v>
      </c>
      <c r="Y27" s="656" t="s">
        <v>112</v>
      </c>
      <c r="Z27" s="658" t="s">
        <v>112</v>
      </c>
    </row>
    <row r="28" spans="1:26" s="610" customFormat="1" ht="38.25">
      <c r="A28" s="609"/>
      <c r="B28" s="840">
        <v>11052</v>
      </c>
      <c r="C28" s="840">
        <v>2160</v>
      </c>
      <c r="D28" s="657" t="s">
        <v>883</v>
      </c>
      <c r="E28" s="656" t="s">
        <v>884</v>
      </c>
      <c r="F28" s="656" t="s">
        <v>885</v>
      </c>
      <c r="G28" s="656" t="s">
        <v>880</v>
      </c>
      <c r="H28" s="656" t="s">
        <v>881</v>
      </c>
      <c r="I28" s="656" t="s">
        <v>884</v>
      </c>
      <c r="J28" s="839">
        <v>40246</v>
      </c>
      <c r="K28" s="839">
        <v>39468</v>
      </c>
      <c r="L28" s="656" t="s">
        <v>886</v>
      </c>
      <c r="M28" s="656">
        <v>4198</v>
      </c>
      <c r="N28" s="656">
        <v>18891</v>
      </c>
      <c r="O28" s="656">
        <v>26987.142857142859</v>
      </c>
      <c r="P28" s="656">
        <v>53974.285714285717</v>
      </c>
      <c r="Q28" s="656">
        <v>0</v>
      </c>
      <c r="R28" s="656">
        <v>0</v>
      </c>
      <c r="S28" s="656">
        <v>0</v>
      </c>
      <c r="T28" s="656">
        <v>0</v>
      </c>
      <c r="U28" s="656">
        <v>0</v>
      </c>
      <c r="V28" s="656">
        <v>0</v>
      </c>
      <c r="W28" s="656"/>
      <c r="X28" s="656">
        <v>800</v>
      </c>
      <c r="Y28" s="656" t="s">
        <v>36</v>
      </c>
      <c r="Z28" s="658" t="s">
        <v>391</v>
      </c>
    </row>
    <row r="29" spans="1:26" s="610" customFormat="1" ht="25.5">
      <c r="A29" s="609"/>
      <c r="B29" s="840">
        <v>11052</v>
      </c>
      <c r="C29" s="840">
        <v>2160</v>
      </c>
      <c r="D29" s="657" t="s">
        <v>887</v>
      </c>
      <c r="E29" s="656" t="s">
        <v>888</v>
      </c>
      <c r="F29" s="656" t="s">
        <v>889</v>
      </c>
      <c r="G29" s="656" t="s">
        <v>880</v>
      </c>
      <c r="H29" s="656" t="s">
        <v>881</v>
      </c>
      <c r="I29" s="656" t="s">
        <v>888</v>
      </c>
      <c r="J29" s="839">
        <v>40590</v>
      </c>
      <c r="K29" s="839">
        <v>40655</v>
      </c>
      <c r="L29" s="656" t="s">
        <v>886</v>
      </c>
      <c r="M29" s="656">
        <v>1286</v>
      </c>
      <c r="N29" s="656">
        <v>5787</v>
      </c>
      <c r="O29" s="656">
        <v>8267.1428571428569</v>
      </c>
      <c r="P29" s="656">
        <v>16534.285714285714</v>
      </c>
      <c r="Q29" s="656">
        <v>0</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5774</v>
      </c>
      <c r="N57" s="614">
        <f>SUM(N27:N56)</f>
        <v>25983</v>
      </c>
      <c r="O57" s="614">
        <f t="shared" ref="O57:W57" si="2">SUM(O27:O56)</f>
        <v>37118.571428571428</v>
      </c>
      <c r="P57" s="614">
        <f t="shared" si="2"/>
        <v>74237.142857142855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4198</v>
      </c>
      <c r="N58" s="614">
        <f t="shared" ref="N58:W58" si="3">SUMIF($Z$27:$Z$56,"industrie",N27:N56)</f>
        <v>18891</v>
      </c>
      <c r="O58" s="614">
        <f t="shared" si="3"/>
        <v>26987.142857142859</v>
      </c>
      <c r="P58" s="614">
        <f t="shared" si="3"/>
        <v>53974.285714285717</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1576</v>
      </c>
      <c r="N60" s="619">
        <f t="shared" ref="N60:W60" si="4">SUMIF($Z$27:$Z$56,"landbouw",N27:N56)</f>
        <v>7092</v>
      </c>
      <c r="O60" s="619">
        <f t="shared" si="4"/>
        <v>10131.428571428571</v>
      </c>
      <c r="P60" s="619">
        <f t="shared" si="4"/>
        <v>20262.857142857141</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30568.235294117643</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43668.907563025212</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30379.876599093648</v>
      </c>
      <c r="D10" s="703">
        <f ca="1">tertiair!C16</f>
        <v>0</v>
      </c>
      <c r="E10" s="703">
        <f ca="1">tertiair!D16</f>
        <v>36736.281554517227</v>
      </c>
      <c r="F10" s="703">
        <f>tertiair!E16</f>
        <v>207.86991792995144</v>
      </c>
      <c r="G10" s="703">
        <f ca="1">tertiair!F16</f>
        <v>5827.8700788036722</v>
      </c>
      <c r="H10" s="703">
        <f>tertiair!G16</f>
        <v>0</v>
      </c>
      <c r="I10" s="703">
        <f>tertiair!H16</f>
        <v>0</v>
      </c>
      <c r="J10" s="703">
        <f>tertiair!I16</f>
        <v>0</v>
      </c>
      <c r="K10" s="703">
        <f>tertiair!J16</f>
        <v>0</v>
      </c>
      <c r="L10" s="703">
        <f>tertiair!K16</f>
        <v>0</v>
      </c>
      <c r="M10" s="703">
        <f ca="1">tertiair!L16</f>
        <v>0</v>
      </c>
      <c r="N10" s="703">
        <f>tertiair!M16</f>
        <v>0</v>
      </c>
      <c r="O10" s="703">
        <f ca="1">tertiair!N16</f>
        <v>1562.5334731023297</v>
      </c>
      <c r="P10" s="703">
        <f>tertiair!O16</f>
        <v>0</v>
      </c>
      <c r="Q10" s="704">
        <f>tertiair!P16</f>
        <v>0</v>
      </c>
      <c r="R10" s="706">
        <f ca="1">SUM(C10:Q10)</f>
        <v>74714.431623446828</v>
      </c>
      <c r="S10" s="68"/>
    </row>
    <row r="11" spans="1:19" s="458" customFormat="1">
      <c r="A11" s="859" t="s">
        <v>225</v>
      </c>
      <c r="B11" s="864"/>
      <c r="C11" s="703">
        <f>huishoudens!B8</f>
        <v>22706.223866068853</v>
      </c>
      <c r="D11" s="703">
        <f>huishoudens!C8</f>
        <v>0</v>
      </c>
      <c r="E11" s="703">
        <f>huishoudens!D8</f>
        <v>67272.542144514431</v>
      </c>
      <c r="F11" s="703">
        <f>huishoudens!E8</f>
        <v>1470.9074337083398</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6866.699317182175</v>
      </c>
      <c r="P11" s="703">
        <f>huishoudens!O8</f>
        <v>112.56000000000002</v>
      </c>
      <c r="Q11" s="704">
        <f>huishoudens!P8</f>
        <v>133.46666666666667</v>
      </c>
      <c r="R11" s="706">
        <f>SUM(C11:Q11)</f>
        <v>98562.399428140474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48591.516496243261</v>
      </c>
      <c r="D13" s="703">
        <f>industrie!C18</f>
        <v>26987.142857142859</v>
      </c>
      <c r="E13" s="703">
        <f>industrie!D18</f>
        <v>18326.9886136567</v>
      </c>
      <c r="F13" s="703">
        <f>industrie!E18</f>
        <v>359.3595458946786</v>
      </c>
      <c r="G13" s="703">
        <f>industrie!F18</f>
        <v>4744.3999111504136</v>
      </c>
      <c r="H13" s="703">
        <f>industrie!G18</f>
        <v>0</v>
      </c>
      <c r="I13" s="703">
        <f>industrie!H18</f>
        <v>0</v>
      </c>
      <c r="J13" s="703">
        <f>industrie!I18</f>
        <v>0</v>
      </c>
      <c r="K13" s="703">
        <f>industrie!J18</f>
        <v>36.802328541148491</v>
      </c>
      <c r="L13" s="703">
        <f>industrie!K18</f>
        <v>0</v>
      </c>
      <c r="M13" s="703">
        <f>industrie!L18</f>
        <v>0</v>
      </c>
      <c r="N13" s="703">
        <f>industrie!M18</f>
        <v>0</v>
      </c>
      <c r="O13" s="703">
        <f>industrie!N18</f>
        <v>1710.3334270321366</v>
      </c>
      <c r="P13" s="703">
        <f>industrie!O18</f>
        <v>0</v>
      </c>
      <c r="Q13" s="704">
        <f>industrie!P18</f>
        <v>0</v>
      </c>
      <c r="R13" s="706">
        <f>SUM(C13:Q13)</f>
        <v>100756.54317966118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101677.61696140576</v>
      </c>
      <c r="D15" s="708">
        <f t="shared" ref="D15:Q15" ca="1" si="0">SUM(D9:D14)</f>
        <v>26987.142857142859</v>
      </c>
      <c r="E15" s="708">
        <f t="shared" ca="1" si="0"/>
        <v>122335.81231268836</v>
      </c>
      <c r="F15" s="708">
        <f t="shared" si="0"/>
        <v>2038.1368975329699</v>
      </c>
      <c r="G15" s="708">
        <f t="shared" ca="1" si="0"/>
        <v>10572.269989954086</v>
      </c>
      <c r="H15" s="708">
        <f t="shared" si="0"/>
        <v>0</v>
      </c>
      <c r="I15" s="708">
        <f t="shared" si="0"/>
        <v>0</v>
      </c>
      <c r="J15" s="708">
        <f t="shared" si="0"/>
        <v>0</v>
      </c>
      <c r="K15" s="708">
        <f t="shared" si="0"/>
        <v>36.802328541148491</v>
      </c>
      <c r="L15" s="708">
        <f t="shared" si="0"/>
        <v>0</v>
      </c>
      <c r="M15" s="708">
        <f t="shared" ca="1" si="0"/>
        <v>0</v>
      </c>
      <c r="N15" s="708">
        <f t="shared" si="0"/>
        <v>0</v>
      </c>
      <c r="O15" s="708">
        <f t="shared" ca="1" si="0"/>
        <v>10139.566217316642</v>
      </c>
      <c r="P15" s="708">
        <f t="shared" si="0"/>
        <v>112.56000000000002</v>
      </c>
      <c r="Q15" s="709">
        <f t="shared" si="0"/>
        <v>133.46666666666667</v>
      </c>
      <c r="R15" s="710">
        <f ca="1">SUM(R9:R14)</f>
        <v>274033.37423124851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2478.5124630842629</v>
      </c>
      <c r="I18" s="703">
        <f>transport!H54</f>
        <v>0</v>
      </c>
      <c r="J18" s="703">
        <f>transport!I54</f>
        <v>0</v>
      </c>
      <c r="K18" s="703">
        <f>transport!J54</f>
        <v>0</v>
      </c>
      <c r="L18" s="703">
        <f>transport!K54</f>
        <v>0</v>
      </c>
      <c r="M18" s="703">
        <f>transport!L54</f>
        <v>0</v>
      </c>
      <c r="N18" s="703">
        <f>transport!M54</f>
        <v>108.83557081608184</v>
      </c>
      <c r="O18" s="703">
        <f>transport!N54</f>
        <v>0</v>
      </c>
      <c r="P18" s="703">
        <f>transport!O54</f>
        <v>0</v>
      </c>
      <c r="Q18" s="704">
        <f>transport!P54</f>
        <v>0</v>
      </c>
      <c r="R18" s="706">
        <f>SUM(C18:Q18)</f>
        <v>2587.3480339003449</v>
      </c>
      <c r="S18" s="68"/>
    </row>
    <row r="19" spans="1:19" s="458" customFormat="1" ht="15" thickBot="1">
      <c r="A19" s="859" t="s">
        <v>307</v>
      </c>
      <c r="B19" s="864"/>
      <c r="C19" s="712">
        <f>transport!B14</f>
        <v>4.5549600354262445</v>
      </c>
      <c r="D19" s="712">
        <f>transport!C14</f>
        <v>0</v>
      </c>
      <c r="E19" s="712">
        <f>transport!D14</f>
        <v>11.934471003505211</v>
      </c>
      <c r="F19" s="712">
        <f>transport!E14</f>
        <v>832.9051620455183</v>
      </c>
      <c r="G19" s="712">
        <f>transport!F14</f>
        <v>0</v>
      </c>
      <c r="H19" s="712">
        <f>transport!G14</f>
        <v>214681.69638873206</v>
      </c>
      <c r="I19" s="712">
        <f>transport!H14</f>
        <v>27849.929737231101</v>
      </c>
      <c r="J19" s="712">
        <f>transport!I14</f>
        <v>0</v>
      </c>
      <c r="K19" s="712">
        <f>transport!J14</f>
        <v>0</v>
      </c>
      <c r="L19" s="712">
        <f>transport!K14</f>
        <v>0</v>
      </c>
      <c r="M19" s="712">
        <f>transport!L14</f>
        <v>0</v>
      </c>
      <c r="N19" s="712">
        <f>transport!M14</f>
        <v>10833.844035991704</v>
      </c>
      <c r="O19" s="712">
        <f>transport!N14</f>
        <v>0</v>
      </c>
      <c r="P19" s="712">
        <f>transport!O14</f>
        <v>0</v>
      </c>
      <c r="Q19" s="713">
        <f>transport!P14</f>
        <v>0</v>
      </c>
      <c r="R19" s="714">
        <f>SUM(C19:Q19)</f>
        <v>254214.86475503934</v>
      </c>
      <c r="S19" s="68"/>
    </row>
    <row r="20" spans="1:19" s="458" customFormat="1" ht="15.75" thickBot="1">
      <c r="A20" s="715" t="s">
        <v>230</v>
      </c>
      <c r="B20" s="867"/>
      <c r="C20" s="862">
        <f>SUM(C17:C19)</f>
        <v>4.5549600354262445</v>
      </c>
      <c r="D20" s="716">
        <f t="shared" ref="D20:R20" si="1">SUM(D17:D19)</f>
        <v>0</v>
      </c>
      <c r="E20" s="716">
        <f t="shared" si="1"/>
        <v>11.934471003505211</v>
      </c>
      <c r="F20" s="716">
        <f t="shared" si="1"/>
        <v>832.9051620455183</v>
      </c>
      <c r="G20" s="716">
        <f t="shared" si="1"/>
        <v>0</v>
      </c>
      <c r="H20" s="716">
        <f t="shared" si="1"/>
        <v>217160.20885181634</v>
      </c>
      <c r="I20" s="716">
        <f t="shared" si="1"/>
        <v>27849.929737231101</v>
      </c>
      <c r="J20" s="716">
        <f t="shared" si="1"/>
        <v>0</v>
      </c>
      <c r="K20" s="716">
        <f t="shared" si="1"/>
        <v>0</v>
      </c>
      <c r="L20" s="716">
        <f t="shared" si="1"/>
        <v>0</v>
      </c>
      <c r="M20" s="716">
        <f t="shared" si="1"/>
        <v>0</v>
      </c>
      <c r="N20" s="716">
        <f t="shared" si="1"/>
        <v>10942.679606807786</v>
      </c>
      <c r="O20" s="716">
        <f t="shared" si="1"/>
        <v>0</v>
      </c>
      <c r="P20" s="716">
        <f t="shared" si="1"/>
        <v>0</v>
      </c>
      <c r="Q20" s="717">
        <f t="shared" si="1"/>
        <v>0</v>
      </c>
      <c r="R20" s="718">
        <f t="shared" si="1"/>
        <v>256802.21278893968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480.08851885548199</v>
      </c>
      <c r="D22" s="712">
        <f>+landbouw!C8</f>
        <v>10131.428571428571</v>
      </c>
      <c r="E22" s="712">
        <f>+landbouw!D8</f>
        <v>0</v>
      </c>
      <c r="F22" s="712">
        <f>+landbouw!E8</f>
        <v>4.5227555174780418</v>
      </c>
      <c r="G22" s="712">
        <f>+landbouw!F8</f>
        <v>1566.688164412195</v>
      </c>
      <c r="H22" s="712">
        <f>+landbouw!G8</f>
        <v>0</v>
      </c>
      <c r="I22" s="712">
        <f>+landbouw!H8</f>
        <v>0</v>
      </c>
      <c r="J22" s="712">
        <f>+landbouw!I8</f>
        <v>0</v>
      </c>
      <c r="K22" s="712">
        <f>+landbouw!J8</f>
        <v>59.389284932530281</v>
      </c>
      <c r="L22" s="712">
        <f>+landbouw!K8</f>
        <v>0</v>
      </c>
      <c r="M22" s="712">
        <f>+landbouw!L8</f>
        <v>0</v>
      </c>
      <c r="N22" s="712">
        <f>+landbouw!M8</f>
        <v>0</v>
      </c>
      <c r="O22" s="712">
        <f>+landbouw!N8</f>
        <v>0</v>
      </c>
      <c r="P22" s="712">
        <f>+landbouw!O8</f>
        <v>0</v>
      </c>
      <c r="Q22" s="713">
        <f>+landbouw!P8</f>
        <v>0</v>
      </c>
      <c r="R22" s="714">
        <f>SUM(C22:Q22)</f>
        <v>12242.117295146258</v>
      </c>
      <c r="S22" s="68"/>
    </row>
    <row r="23" spans="1:19" s="458" customFormat="1" ht="17.25" thickTop="1" thickBot="1">
      <c r="A23" s="719" t="s">
        <v>116</v>
      </c>
      <c r="B23" s="853"/>
      <c r="C23" s="720">
        <f ca="1">C20+C15+C22</f>
        <v>102162.26044029667</v>
      </c>
      <c r="D23" s="720">
        <f t="shared" ref="D23:Q23" ca="1" si="2">D20+D15+D22</f>
        <v>37118.571428571428</v>
      </c>
      <c r="E23" s="720">
        <f t="shared" ca="1" si="2"/>
        <v>122347.74678369187</v>
      </c>
      <c r="F23" s="720">
        <f t="shared" si="2"/>
        <v>2875.564815095966</v>
      </c>
      <c r="G23" s="720">
        <f t="shared" ca="1" si="2"/>
        <v>12138.958154366281</v>
      </c>
      <c r="H23" s="720">
        <f t="shared" si="2"/>
        <v>217160.20885181634</v>
      </c>
      <c r="I23" s="720">
        <f t="shared" si="2"/>
        <v>27849.929737231101</v>
      </c>
      <c r="J23" s="720">
        <f t="shared" si="2"/>
        <v>0</v>
      </c>
      <c r="K23" s="720">
        <f t="shared" si="2"/>
        <v>96.191613473678771</v>
      </c>
      <c r="L23" s="720">
        <f t="shared" si="2"/>
        <v>0</v>
      </c>
      <c r="M23" s="720">
        <f t="shared" ca="1" si="2"/>
        <v>0</v>
      </c>
      <c r="N23" s="720">
        <f t="shared" si="2"/>
        <v>10942.679606807786</v>
      </c>
      <c r="O23" s="720">
        <f t="shared" ca="1" si="2"/>
        <v>10139.566217316642</v>
      </c>
      <c r="P23" s="720">
        <f t="shared" si="2"/>
        <v>112.56000000000002</v>
      </c>
      <c r="Q23" s="721">
        <f t="shared" si="2"/>
        <v>133.46666666666667</v>
      </c>
      <c r="R23" s="722">
        <f ca="1">R20+R15+R22</f>
        <v>543077.70431533444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6566.8193670170613</v>
      </c>
      <c r="D36" s="703">
        <f ca="1">tertiair!C20</f>
        <v>0</v>
      </c>
      <c r="E36" s="703">
        <f ca="1">tertiair!D20</f>
        <v>7420.7288740124804</v>
      </c>
      <c r="F36" s="703">
        <f>tertiair!E20</f>
        <v>47.186471370098978</v>
      </c>
      <c r="G36" s="703">
        <f ca="1">tertiair!F20</f>
        <v>1556.0413110405805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15590.776023440221</v>
      </c>
    </row>
    <row r="37" spans="1:18">
      <c r="A37" s="874" t="s">
        <v>225</v>
      </c>
      <c r="B37" s="881"/>
      <c r="C37" s="703">
        <f ca="1">huishoudens!B12</f>
        <v>4908.106527331136</v>
      </c>
      <c r="D37" s="703">
        <f ca="1">huishoudens!C12</f>
        <v>0</v>
      </c>
      <c r="E37" s="703">
        <f>huishoudens!D12</f>
        <v>13589.053513191917</v>
      </c>
      <c r="F37" s="703">
        <f>huishoudens!E12</f>
        <v>333.89598745179313</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18831.056027974846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10503.390642797378</v>
      </c>
      <c r="D39" s="703">
        <f ca="1">industrie!C22</f>
        <v>6413.4151260504223</v>
      </c>
      <c r="E39" s="703">
        <f>industrie!D22</f>
        <v>3702.0516999586539</v>
      </c>
      <c r="F39" s="703">
        <f>industrie!E22</f>
        <v>81.574616918092048</v>
      </c>
      <c r="G39" s="703">
        <f>industrie!F22</f>
        <v>1266.7547762771605</v>
      </c>
      <c r="H39" s="703">
        <f>industrie!G22</f>
        <v>0</v>
      </c>
      <c r="I39" s="703">
        <f>industrie!H22</f>
        <v>0</v>
      </c>
      <c r="J39" s="703">
        <f>industrie!I22</f>
        <v>0</v>
      </c>
      <c r="K39" s="703">
        <f>industrie!J22</f>
        <v>13.028024303566564</v>
      </c>
      <c r="L39" s="703">
        <f>industrie!K22</f>
        <v>0</v>
      </c>
      <c r="M39" s="703">
        <f>industrie!L22</f>
        <v>0</v>
      </c>
      <c r="N39" s="703">
        <f>industrie!M22</f>
        <v>0</v>
      </c>
      <c r="O39" s="703">
        <f>industrie!N22</f>
        <v>0</v>
      </c>
      <c r="P39" s="703">
        <f>industrie!O22</f>
        <v>0</v>
      </c>
      <c r="Q39" s="813">
        <f>industrie!P22</f>
        <v>0</v>
      </c>
      <c r="R39" s="907">
        <f ca="1">SUM(C39:Q39)</f>
        <v>21980.214886305275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21978.316537145576</v>
      </c>
      <c r="D41" s="748">
        <f t="shared" ref="D41:R41" ca="1" si="4">SUM(D35:D40)</f>
        <v>6413.4151260504223</v>
      </c>
      <c r="E41" s="748">
        <f t="shared" ca="1" si="4"/>
        <v>24711.83408716305</v>
      </c>
      <c r="F41" s="748">
        <f t="shared" si="4"/>
        <v>462.65707573998412</v>
      </c>
      <c r="G41" s="748">
        <f t="shared" ca="1" si="4"/>
        <v>2822.7960873177408</v>
      </c>
      <c r="H41" s="748">
        <f t="shared" si="4"/>
        <v>0</v>
      </c>
      <c r="I41" s="748">
        <f t="shared" si="4"/>
        <v>0</v>
      </c>
      <c r="J41" s="748">
        <f t="shared" si="4"/>
        <v>0</v>
      </c>
      <c r="K41" s="748">
        <f t="shared" si="4"/>
        <v>13.028024303566564</v>
      </c>
      <c r="L41" s="748">
        <f t="shared" si="4"/>
        <v>0</v>
      </c>
      <c r="M41" s="748">
        <f t="shared" ca="1" si="4"/>
        <v>0</v>
      </c>
      <c r="N41" s="748">
        <f t="shared" si="4"/>
        <v>0</v>
      </c>
      <c r="O41" s="748">
        <f t="shared" ca="1" si="4"/>
        <v>0</v>
      </c>
      <c r="P41" s="748">
        <f t="shared" si="4"/>
        <v>0</v>
      </c>
      <c r="Q41" s="749">
        <f t="shared" si="4"/>
        <v>0</v>
      </c>
      <c r="R41" s="750">
        <f t="shared" ca="1" si="4"/>
        <v>56402.046937720341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661.76282764349821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661.76282764349821</v>
      </c>
    </row>
    <row r="45" spans="1:18" ht="15" thickBot="1">
      <c r="A45" s="877" t="s">
        <v>307</v>
      </c>
      <c r="B45" s="887"/>
      <c r="C45" s="712">
        <f ca="1">transport!B18</f>
        <v>0.98458595376645353</v>
      </c>
      <c r="D45" s="712">
        <f>transport!C18</f>
        <v>0</v>
      </c>
      <c r="E45" s="712">
        <f>transport!D18</f>
        <v>2.4107631427080527</v>
      </c>
      <c r="F45" s="712">
        <f>transport!E18</f>
        <v>189.06947178433265</v>
      </c>
      <c r="G45" s="712">
        <f>transport!F18</f>
        <v>0</v>
      </c>
      <c r="H45" s="712">
        <f>transport!G18</f>
        <v>57320.012935791463</v>
      </c>
      <c r="I45" s="712">
        <f>transport!H18</f>
        <v>6934.6325045705444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64447.110261242815</v>
      </c>
    </row>
    <row r="46" spans="1:18" ht="15.75" thickBot="1">
      <c r="A46" s="875" t="s">
        <v>230</v>
      </c>
      <c r="B46" s="888"/>
      <c r="C46" s="748">
        <f t="shared" ref="C46:R46" ca="1" si="5">SUM(C43:C45)</f>
        <v>0.98458595376645353</v>
      </c>
      <c r="D46" s="748">
        <f t="shared" ca="1" si="5"/>
        <v>0</v>
      </c>
      <c r="E46" s="748">
        <f t="shared" si="5"/>
        <v>2.4107631427080527</v>
      </c>
      <c r="F46" s="748">
        <f t="shared" si="5"/>
        <v>189.06947178433265</v>
      </c>
      <c r="G46" s="748">
        <f t="shared" si="5"/>
        <v>0</v>
      </c>
      <c r="H46" s="748">
        <f t="shared" si="5"/>
        <v>57981.775763434962</v>
      </c>
      <c r="I46" s="748">
        <f t="shared" si="5"/>
        <v>6934.6325045705444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65108.873088886314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103.77443677953488</v>
      </c>
      <c r="D48" s="703">
        <f ca="1">+landbouw!C12</f>
        <v>2407.7042016806727</v>
      </c>
      <c r="E48" s="703">
        <f>+landbouw!D12</f>
        <v>0</v>
      </c>
      <c r="F48" s="703">
        <f>+landbouw!E12</f>
        <v>1.0266655024675155</v>
      </c>
      <c r="G48" s="703">
        <f>+landbouw!F12</f>
        <v>418.30573989805606</v>
      </c>
      <c r="H48" s="703">
        <f>+landbouw!G12</f>
        <v>0</v>
      </c>
      <c r="I48" s="703">
        <f>+landbouw!H12</f>
        <v>0</v>
      </c>
      <c r="J48" s="703">
        <f>+landbouw!I12</f>
        <v>0</v>
      </c>
      <c r="K48" s="703">
        <f>+landbouw!J12</f>
        <v>21.023806866115716</v>
      </c>
      <c r="L48" s="703">
        <f>+landbouw!K12</f>
        <v>0</v>
      </c>
      <c r="M48" s="703">
        <f>+landbouw!L12</f>
        <v>0</v>
      </c>
      <c r="N48" s="703">
        <f>+landbouw!M12</f>
        <v>0</v>
      </c>
      <c r="O48" s="703">
        <f>+landbouw!N12</f>
        <v>0</v>
      </c>
      <c r="P48" s="703">
        <f>+landbouw!O12</f>
        <v>0</v>
      </c>
      <c r="Q48" s="704">
        <f>+landbouw!P12</f>
        <v>0</v>
      </c>
      <c r="R48" s="746">
        <f ca="1">SUM(C48:Q48)</f>
        <v>2951.8348507268465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22083.075559878878</v>
      </c>
      <c r="D53" s="758">
        <f t="shared" ref="D53:Q53" ca="1" si="6">D41+D46+D48</f>
        <v>8821.1193277310958</v>
      </c>
      <c r="E53" s="758">
        <f t="shared" ca="1" si="6"/>
        <v>24714.244850305757</v>
      </c>
      <c r="F53" s="758">
        <f t="shared" si="6"/>
        <v>652.75321302678424</v>
      </c>
      <c r="G53" s="758">
        <f t="shared" ca="1" si="6"/>
        <v>3241.1018272157967</v>
      </c>
      <c r="H53" s="758">
        <f t="shared" si="6"/>
        <v>57981.775763434962</v>
      </c>
      <c r="I53" s="758">
        <f t="shared" si="6"/>
        <v>6934.6325045705444</v>
      </c>
      <c r="J53" s="758">
        <f t="shared" si="6"/>
        <v>0</v>
      </c>
      <c r="K53" s="758">
        <f t="shared" si="6"/>
        <v>34.051831169682281</v>
      </c>
      <c r="L53" s="758">
        <f t="shared" si="6"/>
        <v>0</v>
      </c>
      <c r="M53" s="758">
        <f t="shared" ca="1" si="6"/>
        <v>0</v>
      </c>
      <c r="N53" s="758">
        <f t="shared" si="6"/>
        <v>0</v>
      </c>
      <c r="O53" s="758">
        <f t="shared" ca="1" si="6"/>
        <v>0</v>
      </c>
      <c r="P53" s="758">
        <f>P41+P46+P48</f>
        <v>0</v>
      </c>
      <c r="Q53" s="759">
        <f t="shared" si="6"/>
        <v>0</v>
      </c>
      <c r="R53" s="760">
        <f ca="1">R41+R46+R48</f>
        <v>124462.7548773335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0.21615688087465687</v>
      </c>
      <c r="D55" s="824">
        <f t="shared" ca="1" si="7"/>
        <v>0.23764705882352952</v>
      </c>
      <c r="E55" s="824">
        <f t="shared" ca="1" si="7"/>
        <v>0.20199999999999999</v>
      </c>
      <c r="F55" s="824">
        <f t="shared" si="7"/>
        <v>0.22699999999999998</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4196.0385829794113</v>
      </c>
      <c r="C66" s="780">
        <f>'lokale energieproductie'!B6</f>
        <v>4196.0385829794113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25983</v>
      </c>
      <c r="C67" s="779">
        <f>B67*IFERROR(SUM(J67:L67)/SUM(D67:M67),0)</f>
        <v>0</v>
      </c>
      <c r="D67" s="811">
        <f>'lokale energieproductie'!C7</f>
        <v>30568.235294117643</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6174.783529411764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30179.03858297941</v>
      </c>
      <c r="C69" s="788">
        <f>SUM(C64:C68)</f>
        <v>4196.0385829794113</v>
      </c>
      <c r="D69" s="789">
        <f t="shared" ref="D69:M69" si="8">SUM(D67:D68)</f>
        <v>30568.235294117643</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6174.783529411764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37118.571428571428</v>
      </c>
      <c r="C78" s="802">
        <f>B78*IFERROR(SUM(I78:L78)/SUM(D78:M78),0)</f>
        <v>0</v>
      </c>
      <c r="D78" s="817">
        <f>'lokale energieproductie'!C16</f>
        <v>43668.907563025212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8821.119327731094</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37118.571428571428</v>
      </c>
      <c r="C81" s="788">
        <f>SUM(C78:C80)</f>
        <v>0</v>
      </c>
      <c r="D81" s="788">
        <f t="shared" ref="D81:P81" si="9">SUM(D78:D80)</f>
        <v>43668.907563025212</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8821.119327731094</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22706.223866068853</v>
      </c>
      <c r="C4" s="462">
        <f>huishoudens!C8</f>
        <v>0</v>
      </c>
      <c r="D4" s="462">
        <f>huishoudens!D8</f>
        <v>67272.542144514431</v>
      </c>
      <c r="E4" s="462">
        <f>huishoudens!E8</f>
        <v>1470.9074337083398</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6866.699317182175</v>
      </c>
      <c r="O4" s="462">
        <f>huishoudens!O8</f>
        <v>112.56000000000002</v>
      </c>
      <c r="P4" s="463">
        <f>huishoudens!P8</f>
        <v>133.46666666666667</v>
      </c>
      <c r="Q4" s="464">
        <f>SUM(B4:P4)</f>
        <v>98562.399428140474</v>
      </c>
    </row>
    <row r="5" spans="1:17">
      <c r="A5" s="461" t="s">
        <v>156</v>
      </c>
      <c r="B5" s="462">
        <f ca="1">tertiair!B16</f>
        <v>29493.551599093647</v>
      </c>
      <c r="C5" s="462">
        <f ca="1">tertiair!C16</f>
        <v>0</v>
      </c>
      <c r="D5" s="462">
        <f ca="1">tertiair!D16</f>
        <v>36736.281554517227</v>
      </c>
      <c r="E5" s="462">
        <f>tertiair!E16</f>
        <v>207.86991792995144</v>
      </c>
      <c r="F5" s="462">
        <f ca="1">tertiair!F16</f>
        <v>5827.8700788036722</v>
      </c>
      <c r="G5" s="462">
        <f>tertiair!G16</f>
        <v>0</v>
      </c>
      <c r="H5" s="462">
        <f>tertiair!H16</f>
        <v>0</v>
      </c>
      <c r="I5" s="462">
        <f>tertiair!I16</f>
        <v>0</v>
      </c>
      <c r="J5" s="462">
        <f>tertiair!J16</f>
        <v>0</v>
      </c>
      <c r="K5" s="462">
        <f>tertiair!K16</f>
        <v>0</v>
      </c>
      <c r="L5" s="462">
        <f ca="1">tertiair!L16</f>
        <v>0</v>
      </c>
      <c r="M5" s="462">
        <f>tertiair!M16</f>
        <v>0</v>
      </c>
      <c r="N5" s="462">
        <f ca="1">tertiair!N16</f>
        <v>1562.5334731023297</v>
      </c>
      <c r="O5" s="462">
        <f>tertiair!O16</f>
        <v>0</v>
      </c>
      <c r="P5" s="463">
        <f>tertiair!P16</f>
        <v>0</v>
      </c>
      <c r="Q5" s="461">
        <f t="shared" ref="Q5:Q13" ca="1" si="0">SUM(B5:P5)</f>
        <v>73828.106623446831</v>
      </c>
    </row>
    <row r="6" spans="1:17">
      <c r="A6" s="461" t="s">
        <v>194</v>
      </c>
      <c r="B6" s="462">
        <f>'openbare verlichting'!B8</f>
        <v>886.32500000000005</v>
      </c>
      <c r="C6" s="462"/>
      <c r="D6" s="462"/>
      <c r="E6" s="462"/>
      <c r="F6" s="462"/>
      <c r="G6" s="462"/>
      <c r="H6" s="462"/>
      <c r="I6" s="462"/>
      <c r="J6" s="462"/>
      <c r="K6" s="462"/>
      <c r="L6" s="462"/>
      <c r="M6" s="462"/>
      <c r="N6" s="462"/>
      <c r="O6" s="462"/>
      <c r="P6" s="463"/>
      <c r="Q6" s="461">
        <f t="shared" si="0"/>
        <v>886.32500000000005</v>
      </c>
    </row>
    <row r="7" spans="1:17">
      <c r="A7" s="461" t="s">
        <v>112</v>
      </c>
      <c r="B7" s="462">
        <f>landbouw!B8</f>
        <v>480.08851885548199</v>
      </c>
      <c r="C7" s="462">
        <f>landbouw!C8</f>
        <v>10131.428571428571</v>
      </c>
      <c r="D7" s="462">
        <f>landbouw!D8</f>
        <v>0</v>
      </c>
      <c r="E7" s="462">
        <f>landbouw!E8</f>
        <v>4.5227555174780418</v>
      </c>
      <c r="F7" s="462">
        <f>landbouw!F8</f>
        <v>1566.688164412195</v>
      </c>
      <c r="G7" s="462">
        <f>landbouw!G8</f>
        <v>0</v>
      </c>
      <c r="H7" s="462">
        <f>landbouw!H8</f>
        <v>0</v>
      </c>
      <c r="I7" s="462">
        <f>landbouw!I8</f>
        <v>0</v>
      </c>
      <c r="J7" s="462">
        <f>landbouw!J8</f>
        <v>59.389284932530281</v>
      </c>
      <c r="K7" s="462">
        <f>landbouw!K8</f>
        <v>0</v>
      </c>
      <c r="L7" s="462">
        <f>landbouw!L8</f>
        <v>0</v>
      </c>
      <c r="M7" s="462">
        <f>landbouw!M8</f>
        <v>0</v>
      </c>
      <c r="N7" s="462">
        <f>landbouw!N8</f>
        <v>0</v>
      </c>
      <c r="O7" s="462">
        <f>landbouw!O8</f>
        <v>0</v>
      </c>
      <c r="P7" s="463">
        <f>landbouw!P8</f>
        <v>0</v>
      </c>
      <c r="Q7" s="461">
        <f t="shared" si="0"/>
        <v>12242.117295146258</v>
      </c>
    </row>
    <row r="8" spans="1:17">
      <c r="A8" s="461" t="s">
        <v>685</v>
      </c>
      <c r="B8" s="462">
        <f>industrie!B18</f>
        <v>48591.516496243261</v>
      </c>
      <c r="C8" s="462">
        <f>industrie!C18</f>
        <v>26987.142857142859</v>
      </c>
      <c r="D8" s="462">
        <f>industrie!D18</f>
        <v>18326.9886136567</v>
      </c>
      <c r="E8" s="462">
        <f>industrie!E18</f>
        <v>359.3595458946786</v>
      </c>
      <c r="F8" s="462">
        <f>industrie!F18</f>
        <v>4744.3999111504136</v>
      </c>
      <c r="G8" s="462">
        <f>industrie!G18</f>
        <v>0</v>
      </c>
      <c r="H8" s="462">
        <f>industrie!H18</f>
        <v>0</v>
      </c>
      <c r="I8" s="462">
        <f>industrie!I18</f>
        <v>0</v>
      </c>
      <c r="J8" s="462">
        <f>industrie!J18</f>
        <v>36.802328541148491</v>
      </c>
      <c r="K8" s="462">
        <f>industrie!K18</f>
        <v>0</v>
      </c>
      <c r="L8" s="462">
        <f>industrie!L18</f>
        <v>0</v>
      </c>
      <c r="M8" s="462">
        <f>industrie!M18</f>
        <v>0</v>
      </c>
      <c r="N8" s="462">
        <f>industrie!N18</f>
        <v>1710.3334270321366</v>
      </c>
      <c r="O8" s="462">
        <f>industrie!O18</f>
        <v>0</v>
      </c>
      <c r="P8" s="463">
        <f>industrie!P18</f>
        <v>0</v>
      </c>
      <c r="Q8" s="461">
        <f t="shared" si="0"/>
        <v>100756.54317966118</v>
      </c>
    </row>
    <row r="9" spans="1:17" s="467" customFormat="1">
      <c r="A9" s="465" t="s">
        <v>579</v>
      </c>
      <c r="B9" s="466">
        <f>transport!B14</f>
        <v>4.5549600354262445</v>
      </c>
      <c r="C9" s="466">
        <f>transport!C14</f>
        <v>0</v>
      </c>
      <c r="D9" s="466">
        <f>transport!D14</f>
        <v>11.934471003505211</v>
      </c>
      <c r="E9" s="466">
        <f>transport!E14</f>
        <v>832.9051620455183</v>
      </c>
      <c r="F9" s="466">
        <f>transport!F14</f>
        <v>0</v>
      </c>
      <c r="G9" s="466">
        <f>transport!G14</f>
        <v>214681.69638873206</v>
      </c>
      <c r="H9" s="466">
        <f>transport!H14</f>
        <v>27849.929737231101</v>
      </c>
      <c r="I9" s="466">
        <f>transport!I14</f>
        <v>0</v>
      </c>
      <c r="J9" s="466">
        <f>transport!J14</f>
        <v>0</v>
      </c>
      <c r="K9" s="466">
        <f>transport!K14</f>
        <v>0</v>
      </c>
      <c r="L9" s="466">
        <f>transport!L14</f>
        <v>0</v>
      </c>
      <c r="M9" s="466">
        <f>transport!M14</f>
        <v>10833.844035991704</v>
      </c>
      <c r="N9" s="466">
        <f>transport!N14</f>
        <v>0</v>
      </c>
      <c r="O9" s="466">
        <f>transport!O14</f>
        <v>0</v>
      </c>
      <c r="P9" s="466">
        <f>transport!P14</f>
        <v>0</v>
      </c>
      <c r="Q9" s="465">
        <f>SUM(B9:P9)</f>
        <v>254214.86475503934</v>
      </c>
    </row>
    <row r="10" spans="1:17">
      <c r="A10" s="461" t="s">
        <v>569</v>
      </c>
      <c r="B10" s="462">
        <f>transport!B54</f>
        <v>0</v>
      </c>
      <c r="C10" s="462">
        <f>transport!C54</f>
        <v>0</v>
      </c>
      <c r="D10" s="462">
        <f>transport!D54</f>
        <v>0</v>
      </c>
      <c r="E10" s="462">
        <f>transport!E54</f>
        <v>0</v>
      </c>
      <c r="F10" s="462">
        <f>transport!F54</f>
        <v>0</v>
      </c>
      <c r="G10" s="462">
        <f>transport!G54</f>
        <v>2478.5124630842629</v>
      </c>
      <c r="H10" s="462">
        <f>transport!H54</f>
        <v>0</v>
      </c>
      <c r="I10" s="462">
        <f>transport!I54</f>
        <v>0</v>
      </c>
      <c r="J10" s="462">
        <f>transport!J54</f>
        <v>0</v>
      </c>
      <c r="K10" s="462">
        <f>transport!K54</f>
        <v>0</v>
      </c>
      <c r="L10" s="462">
        <f>transport!L54</f>
        <v>0</v>
      </c>
      <c r="M10" s="462">
        <f>transport!M54</f>
        <v>108.83557081608184</v>
      </c>
      <c r="N10" s="462">
        <f>transport!N54</f>
        <v>0</v>
      </c>
      <c r="O10" s="462">
        <f>transport!O54</f>
        <v>0</v>
      </c>
      <c r="P10" s="463">
        <f>transport!P54</f>
        <v>0</v>
      </c>
      <c r="Q10" s="461">
        <f t="shared" si="0"/>
        <v>2587.3480339003449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102162.26044029667</v>
      </c>
      <c r="C14" s="472">
        <f t="shared" ref="C14:Q14" ca="1" si="1">SUM(C4:C13)</f>
        <v>37118.571428571428</v>
      </c>
      <c r="D14" s="472">
        <f t="shared" ca="1" si="1"/>
        <v>122347.74678369187</v>
      </c>
      <c r="E14" s="472">
        <f t="shared" si="1"/>
        <v>2875.5648150959664</v>
      </c>
      <c r="F14" s="472">
        <f t="shared" ca="1" si="1"/>
        <v>12138.958154366281</v>
      </c>
      <c r="G14" s="472">
        <f t="shared" si="1"/>
        <v>217160.20885181634</v>
      </c>
      <c r="H14" s="472">
        <f t="shared" si="1"/>
        <v>27849.929737231101</v>
      </c>
      <c r="I14" s="472">
        <f t="shared" si="1"/>
        <v>0</v>
      </c>
      <c r="J14" s="472">
        <f t="shared" si="1"/>
        <v>96.191613473678771</v>
      </c>
      <c r="K14" s="472">
        <f t="shared" si="1"/>
        <v>0</v>
      </c>
      <c r="L14" s="472">
        <f t="shared" ca="1" si="1"/>
        <v>0</v>
      </c>
      <c r="M14" s="472">
        <f t="shared" si="1"/>
        <v>10942.679606807786</v>
      </c>
      <c r="N14" s="472">
        <f t="shared" ca="1" si="1"/>
        <v>10139.566217316642</v>
      </c>
      <c r="O14" s="472">
        <f t="shared" si="1"/>
        <v>112.56000000000002</v>
      </c>
      <c r="P14" s="473">
        <f t="shared" si="1"/>
        <v>133.46666666666667</v>
      </c>
      <c r="Q14" s="473">
        <f t="shared" ca="1" si="1"/>
        <v>543077.70431533444</v>
      </c>
    </row>
    <row r="16" spans="1:17">
      <c r="A16" s="475" t="s">
        <v>574</v>
      </c>
      <c r="B16" s="829">
        <f ca="1">huishoudens!B10</f>
        <v>0.21615688087465687</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4908.106527331136</v>
      </c>
      <c r="C21" s="462">
        <f t="shared" ref="C21:C30" ca="1" si="3">C4*$C$16</f>
        <v>0</v>
      </c>
      <c r="D21" s="462">
        <f t="shared" ref="D21:D30" si="4">D4*$D$16</f>
        <v>13589.053513191917</v>
      </c>
      <c r="E21" s="462">
        <f t="shared" ref="E21:E30" si="5">E4*$E$16</f>
        <v>333.89598745179313</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18831.056027974846</v>
      </c>
    </row>
    <row r="22" spans="1:17">
      <c r="A22" s="461" t="s">
        <v>156</v>
      </c>
      <c r="B22" s="462">
        <f t="shared" ca="1" si="2"/>
        <v>6375.2341195758308</v>
      </c>
      <c r="C22" s="462">
        <f t="shared" ca="1" si="3"/>
        <v>0</v>
      </c>
      <c r="D22" s="462">
        <f t="shared" ca="1" si="4"/>
        <v>7420.7288740124804</v>
      </c>
      <c r="E22" s="462">
        <f t="shared" si="5"/>
        <v>47.186471370098978</v>
      </c>
      <c r="F22" s="462">
        <f t="shared" ca="1" si="6"/>
        <v>1556.0413110405805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15399.190775998992</v>
      </c>
    </row>
    <row r="23" spans="1:17">
      <c r="A23" s="461" t="s">
        <v>194</v>
      </c>
      <c r="B23" s="462">
        <f t="shared" ca="1" si="2"/>
        <v>191.58524744123025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191.58524744123025</v>
      </c>
    </row>
    <row r="24" spans="1:17">
      <c r="A24" s="461" t="s">
        <v>112</v>
      </c>
      <c r="B24" s="462">
        <f t="shared" ca="1" si="2"/>
        <v>103.77443677953488</v>
      </c>
      <c r="C24" s="462">
        <f t="shared" ca="1" si="3"/>
        <v>2407.7042016806727</v>
      </c>
      <c r="D24" s="462">
        <f t="shared" si="4"/>
        <v>0</v>
      </c>
      <c r="E24" s="462">
        <f t="shared" si="5"/>
        <v>1.0266655024675155</v>
      </c>
      <c r="F24" s="462">
        <f t="shared" si="6"/>
        <v>418.30573989805606</v>
      </c>
      <c r="G24" s="462">
        <f t="shared" si="7"/>
        <v>0</v>
      </c>
      <c r="H24" s="462">
        <f t="shared" si="8"/>
        <v>0</v>
      </c>
      <c r="I24" s="462">
        <f t="shared" si="9"/>
        <v>0</v>
      </c>
      <c r="J24" s="462">
        <f t="shared" si="10"/>
        <v>21.023806866115716</v>
      </c>
      <c r="K24" s="462">
        <f t="shared" si="11"/>
        <v>0</v>
      </c>
      <c r="L24" s="462">
        <f t="shared" si="12"/>
        <v>0</v>
      </c>
      <c r="M24" s="462">
        <f t="shared" si="13"/>
        <v>0</v>
      </c>
      <c r="N24" s="462">
        <f t="shared" si="14"/>
        <v>0</v>
      </c>
      <c r="O24" s="462">
        <f t="shared" si="15"/>
        <v>0</v>
      </c>
      <c r="P24" s="463">
        <f t="shared" si="16"/>
        <v>0</v>
      </c>
      <c r="Q24" s="461">
        <f t="shared" ca="1" si="17"/>
        <v>2951.8348507268465</v>
      </c>
    </row>
    <row r="25" spans="1:17">
      <c r="A25" s="461" t="s">
        <v>685</v>
      </c>
      <c r="B25" s="462">
        <f t="shared" ca="1" si="2"/>
        <v>10503.390642797378</v>
      </c>
      <c r="C25" s="462">
        <f t="shared" ca="1" si="3"/>
        <v>6413.4151260504223</v>
      </c>
      <c r="D25" s="462">
        <f t="shared" si="4"/>
        <v>3702.0516999586539</v>
      </c>
      <c r="E25" s="462">
        <f t="shared" si="5"/>
        <v>81.574616918092048</v>
      </c>
      <c r="F25" s="462">
        <f t="shared" si="6"/>
        <v>1266.7547762771605</v>
      </c>
      <c r="G25" s="462">
        <f t="shared" si="7"/>
        <v>0</v>
      </c>
      <c r="H25" s="462">
        <f t="shared" si="8"/>
        <v>0</v>
      </c>
      <c r="I25" s="462">
        <f t="shared" si="9"/>
        <v>0</v>
      </c>
      <c r="J25" s="462">
        <f t="shared" si="10"/>
        <v>13.028024303566564</v>
      </c>
      <c r="K25" s="462">
        <f t="shared" si="11"/>
        <v>0</v>
      </c>
      <c r="L25" s="462">
        <f t="shared" si="12"/>
        <v>0</v>
      </c>
      <c r="M25" s="462">
        <f t="shared" si="13"/>
        <v>0</v>
      </c>
      <c r="N25" s="462">
        <f t="shared" si="14"/>
        <v>0</v>
      </c>
      <c r="O25" s="462">
        <f t="shared" si="15"/>
        <v>0</v>
      </c>
      <c r="P25" s="463">
        <f t="shared" si="16"/>
        <v>0</v>
      </c>
      <c r="Q25" s="461">
        <f t="shared" ca="1" si="17"/>
        <v>21980.214886305275</v>
      </c>
    </row>
    <row r="26" spans="1:17" s="467" customFormat="1">
      <c r="A26" s="465" t="s">
        <v>579</v>
      </c>
      <c r="B26" s="823">
        <f t="shared" ca="1" si="2"/>
        <v>0.98458595376645353</v>
      </c>
      <c r="C26" s="466">
        <f t="shared" ca="1" si="3"/>
        <v>0</v>
      </c>
      <c r="D26" s="466">
        <f t="shared" si="4"/>
        <v>2.4107631427080527</v>
      </c>
      <c r="E26" s="466">
        <f t="shared" si="5"/>
        <v>189.06947178433265</v>
      </c>
      <c r="F26" s="466">
        <f t="shared" si="6"/>
        <v>0</v>
      </c>
      <c r="G26" s="466">
        <f t="shared" si="7"/>
        <v>57320.012935791463</v>
      </c>
      <c r="H26" s="466">
        <f t="shared" si="8"/>
        <v>6934.6325045705444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64447.110261242815</v>
      </c>
    </row>
    <row r="27" spans="1:17">
      <c r="A27" s="461" t="s">
        <v>569</v>
      </c>
      <c r="B27" s="462">
        <f t="shared" ca="1" si="2"/>
        <v>0</v>
      </c>
      <c r="C27" s="462">
        <f t="shared" ca="1" si="3"/>
        <v>0</v>
      </c>
      <c r="D27" s="462">
        <f t="shared" si="4"/>
        <v>0</v>
      </c>
      <c r="E27" s="462">
        <f t="shared" si="5"/>
        <v>0</v>
      </c>
      <c r="F27" s="462">
        <f t="shared" si="6"/>
        <v>0</v>
      </c>
      <c r="G27" s="462">
        <f t="shared" si="7"/>
        <v>661.76282764349821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661.76282764349821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22083.075559878875</v>
      </c>
      <c r="C31" s="472">
        <f t="shared" ca="1" si="18"/>
        <v>8821.1193277310958</v>
      </c>
      <c r="D31" s="472">
        <f t="shared" ca="1" si="18"/>
        <v>24714.244850305757</v>
      </c>
      <c r="E31" s="472">
        <f t="shared" si="18"/>
        <v>652.75321302678424</v>
      </c>
      <c r="F31" s="472">
        <f t="shared" ca="1" si="18"/>
        <v>3241.1018272157971</v>
      </c>
      <c r="G31" s="472">
        <f t="shared" si="18"/>
        <v>57981.775763434962</v>
      </c>
      <c r="H31" s="472">
        <f t="shared" si="18"/>
        <v>6934.6325045705444</v>
      </c>
      <c r="I31" s="472">
        <f t="shared" si="18"/>
        <v>0</v>
      </c>
      <c r="J31" s="472">
        <f t="shared" si="18"/>
        <v>34.051831169682281</v>
      </c>
      <c r="K31" s="472">
        <f t="shared" si="18"/>
        <v>0</v>
      </c>
      <c r="L31" s="472">
        <f t="shared" ca="1" si="18"/>
        <v>0</v>
      </c>
      <c r="M31" s="472">
        <f t="shared" si="18"/>
        <v>0</v>
      </c>
      <c r="N31" s="472">
        <f t="shared" ca="1" si="18"/>
        <v>0</v>
      </c>
      <c r="O31" s="472">
        <f t="shared" si="18"/>
        <v>0</v>
      </c>
      <c r="P31" s="473">
        <f t="shared" si="18"/>
        <v>0</v>
      </c>
      <c r="Q31" s="473">
        <f t="shared" ca="1" si="18"/>
        <v>124462.75487733351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0.21615688087465687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0.21615688087465687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0.21615688087465687</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2018-06-27T09:16:53Z</dcterms:modified>
</cp:coreProperties>
</file>