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G14" i="22"/>
  <c r="I7" i="18"/>
  <c r="I9" s="1"/>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E55" i="14"/>
  <c r="Q9" i="48"/>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<sst xmlns="http://schemas.openxmlformats.org/spreadsheetml/2006/main" count="2045" uniqueCount="891">
  <si>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</si>
  <si>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</si>
  <si>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</si>
  <si>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</si>
  <si>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</si>
  <si>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</si>
  <si>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</si>
  <si>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</si>
  <si>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</si>
  <si>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</si>
  <si>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</si>
  <si>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</si>
  <si>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</si>
  <si>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</si>
  <si>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</si>
  <si>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</si>
  <si>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</si>
  <si>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</si>
  <si>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</si>
  <si>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</si>
  <si>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</si>
  <si>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</si>
  <si>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</si>
  <si>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</si>
  <si>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</si>
  <si>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</si>
  <si>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</si>
  <si>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</si>
  <si>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</si>
  <si>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</si>
  <si>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</si>
  <si>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</si>
  <si>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</si>
  <si>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</si>
  <si>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</si>
  <si>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</si>
  <si>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</si>
  <si>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</si>
  <si>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</si>
  <si>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</si>
  <si>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</si>
  <si>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</si>
  <si>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</si>
  <si>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</si>
  <si>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</si>
  <si>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</si>
  <si>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</si>
  <si>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</si>
  <si>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</si>
  <si>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</si>
  <si>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</si>
  <si>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</si>
  <si>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</si>
  <si>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</si>
  <si>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</si>
  <si>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</si>
  <si>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</si>
  <si>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</si>
  <si>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</si>
  <si>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</si>
  <si>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</si>
  <si>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</si>
  <si>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</si>
  <si>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</si>
  <si>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</si>
  <si>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</si>
  <si>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</si>
  <si>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</si>
  <si>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</si>
  <si>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</si>
  <si>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</si>
  <si>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</si>
  <si>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</si>
  <si>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</si>
  <si>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</si>
  <si>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</si>
  <si>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</si>
  <si>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</si>
  <si>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</si>
  <si>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</si>
  <si>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</si>
  <si>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</si>
  <si>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</si>
  <si>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</si>
  <si>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</si>
  <si>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</si>
  <si>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</si>
  <si>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</si>
  <si>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</si>
  <si>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</si>
  <si>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</si>
  <si>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</si>
  <si>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</si>
  <si>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</si>
  <si>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</si>
  <si>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</si>
  <si>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</si>
  <si>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</si>
  <si>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</si>
  <si>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</si>
  <si>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</si>
  <si>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</si>
  <si>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</si>
  <si>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</si>
  <si>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</si>
  <si>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</si>
  <si>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</si>
  <si>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</si>
  <si>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</si>
  <si>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</si>
  <si>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</si>
  <si>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</si>
  <si>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</si>
  <si>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</si>
  <si>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</si>
  <si>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</si>
  <si>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</si>
  <si>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</si>
  <si>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</si>
  <si>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</si>
  <si>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</si>
  <si>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</si>
  <si>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</si>
  <si>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</si>
  <si>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</si>
  <si>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</si>
  <si>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</si>
  <si>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</si>
  <si>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</si>
  <si>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</si>
  <si>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</si>
  <si>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</si>
  <si>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</si>
  <si>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</si>
  <si>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</si>
  <si>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</si>
  <si>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</si>
  <si>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</si>
  <si>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</si>
  <si>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</si>
  <si>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</si>
  <si>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</si>
  <si>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</si>
  <si>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</si>
  <si>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</si>
  <si>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</si>
  <si>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</si>
  <si>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</si>
  <si>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</si>
  <si>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</si>
  <si>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</si>
  <si>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</si>
  <si>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</si>
  <si>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</si>
  <si>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</si>
  <si>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</si>
  <si>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</si>
  <si>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</si>
  <si>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</si>
  <si>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</si>
  <si>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</si>
  <si>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</si>
  <si>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</si>
  <si>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</si>
  <si>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</si>
  <si>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</si>
  <si>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</si>
  <si>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</si>
  <si>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</si>
  <si>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</si>
  <si>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</si>
  <si>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</si>
  <si>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</si>
  <si>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</si>
  <si>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</si>
  <si>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</si>
  <si>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</si>
  <si>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</si>
  <si>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</si>
  <si>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</si>
  <si>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</si>
  <si>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</si>
  <si>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</si>
  <si>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</si>
  <si>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</si>
  <si>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</si>
  <si>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</si>
  <si>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</si>
  <si>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</si>
  <si>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</si>
  <si>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</si>
  <si>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</si>
  <si>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</si>
  <si>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</si>
  <si>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</si>
  <si>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</si>
  <si>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</si>
  <si>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</si>
  <si>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</si>
  <si>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</si>
  <si>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</si>
  <si>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</si>
  <si>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</si>
  <si>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</si>
  <si>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</si>
  <si>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</si>
  <si>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</si>
  <si>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</si>
  <si>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</si>
  <si>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</si>
  <si>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</si>
  <si>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</si>
  <si>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</si>
  <si>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</si>
  <si>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</si>
  <si>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</si>
  <si>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</si>
  <si>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</si>
  <si>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</si>
  <si>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</si>
  <si>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</si>
  <si>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</si>
  <si>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</si>
  <si>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</si>
  <si>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</si>
  <si>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</si>
  <si>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</si>
  <si>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</si>
  <si>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</si>
  <si>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</si>
  <si>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</si>
  <si>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</si>
  <si>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</si>
  <si>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</si>
  <si>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</si>
  <si>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</si>
  <si>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</si>
  <si>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</si>
  <si>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</si>
  <si>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</si>
  <si>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</si>
  <si>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</si>
  <si>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</si>
  <si>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</si>
  <si>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</si>
  <si>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</si>
  <si>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</si>
  <si>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</si>
  <si>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</si>
  <si>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</si>
  <si>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</si>
  <si>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</si>
  <si>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</si>
  <si>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</si>
  <si>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</si>
  <si>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</si>
  <si>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</si>
  <si>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</si>
  <si>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</si>
  <si>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</si>
  <si>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</si>
  <si>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</si>
  <si>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</si>
  <si>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</si>
  <si>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</si>
  <si>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</si>
  <si>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</si>
  <si>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</si>
  <si>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</si>
  <si>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</si>
  <si>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</si>
  <si>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</si>
  <si>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</si>
  <si>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</si>
  <si>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</si>
  <si>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</si>
  <si>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</si>
  <si>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</si>
  <si>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</si>
  <si>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</si>
  <si>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</si>
  <si>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</si>
  <si>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</si>
  <si>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</si>
  <si>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</si>
  <si>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</si>
  <si>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</si>
  <si>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</si>
  <si>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</si>
  <si>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</si>
  <si>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</si>
  <si>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</si>
  <si>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</si>
  <si>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</si>
  <si>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</si>
  <si>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</si>
  <si>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</si>
  <si>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</si>
  <si>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</si>
  <si>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</si>
  <si>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</si>
  <si>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</si>
  <si>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</si>
  <si>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</si>
  <si>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</si>
  <si>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</si>
  <si>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</si>
  <si>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</si>
  <si>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</si>
  <si>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</si>
  <si>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</si>
  <si>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</si>
  <si>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</si>
  <si>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</si>
  <si>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</si>
  <si>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</si>
  <si>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</si>
  <si>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</si>
  <si>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</si>
  <si>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</si>
  <si>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</si>
  <si>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</si>
  <si>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</si>
  <si>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</si>
  <si>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</si>
  <si>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</si>
  <si>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</si>
  <si>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</si>
  <si>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</si>
  <si>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</si>
  <si>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</si>
  <si>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</si>
  <si>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</si>
  <si>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</si>
  <si>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</si>
  <si>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</si>
  <si>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</si>
  <si>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</si>
  <si>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</si>
  <si>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</si>
  <si>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</si>
  <si>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</si>
  <si>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</si>
  <si>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</si>
  <si>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</si>
  <si>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</si>
  <si>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</si>
  <si>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</si>
  <si>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</si>
  <si>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</si>
  <si>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</si>
  <si>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</si>
  <si>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</si>
  <si>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</si>
  <si>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</si>
  <si>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</si>
  <si>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</si>
  <si>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</si>
  <si>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</si>
  <si>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</si>
  <si>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</si>
  <si>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</si>
  <si>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</si>
  <si>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</si>
  <si>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</si>
  <si>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</si>
  <si>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</si>
  <si>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</si>
  <si>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</si>
  <si>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</si>
  <si>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</si>
  <si>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</si>
  <si>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</si>
  <si>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</si>
  <si>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</si>
  <si>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</si>
  <si>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</si>
  <si>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</si>
  <si>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</si>
  <si>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</si>
  <si>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</si>
  <si>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</si>
  <si>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</si>
  <si>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</si>
  <si>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</si>
  <si>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</si>
  <si>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</si>
  <si>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</si>
  <si>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</si>
  <si>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</si>
  <si>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</si>
  <si>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</si>
  <si>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</si>
  <si>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</si>
  <si>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</si>
  <si>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</si>
  <si>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</si>
  <si>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</si>
  <si>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</si>
  <si>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</si>
  <si>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</si>
  <si>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</si>
  <si>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</si>
  <si>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</si>
  <si>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</si>
  <si>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</si>
  <si>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</si>
  <si>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</si>
  <si>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</si>
  <si>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</si>
  <si>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</si>
  <si>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</si>
  <si>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</si>
  <si>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</si>
  <si>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</si>
  <si>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</si>
  <si>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</si>
  <si>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</si>
  <si>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</si>
  <si>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</si>
  <si>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</si>
  <si>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</si>
  <si>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</si>
  <si>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</si>
  <si>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</si>
  <si>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</si>
  <si>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</si>
  <si>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</si>
  <si>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</si>
  <si>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</si>
  <si>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</si>
  <si>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</si>
  <si>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</si>
  <si>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</si>
  <si>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</si>
  <si>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</si>
  <si>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</si>
  <si>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</si>
  <si>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</si>
  <si>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</si>
  <si>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</si>
  <si>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</si>
  <si>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</si>
  <si>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</si>
  <si>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</si>
  <si>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</si>
  <si>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</si>
  <si>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</si>
  <si>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</si>
  <si>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</si>
  <si>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</si>
  <si>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</si>
  <si>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</si>
  <si>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</si>
  <si>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</si>
  <si>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</si>
  <si>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</si>
  <si>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</si>
  <si>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</si>
  <si>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</si>
  <si>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</si>
  <si>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</si>
  <si>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</si>
  <si>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</si>
  <si>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</si>
  <si>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</si>
  <si>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</si>
  <si>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</si>
  <si>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</si>
  <si>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</si>
  <si>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</si>
  <si>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</si>
  <si>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</si>
  <si>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</si>
  <si>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</si>
  <si>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</si>
  <si>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</si>
  <si>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</si>
  <si>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</si>
  <si>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</si>
  <si>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</si>
  <si>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</si>
  <si>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</si>
  <si>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</si>
  <si>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</si>
  <si>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</si>
  <si>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</si>
  <si>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</si>
  <si>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</si>
  <si>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</si>
  <si>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</si>
  <si>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</si>
  <si>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</si>
  <si>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</si>
  <si>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</si>
  <si>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</si>
  <si>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</si>
  <si>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</si>
  <si>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</si>
  <si>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</si>
  <si>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</si>
  <si>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</si>
  <si>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</si>
  <si>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</si>
  <si>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</si>
  <si>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</si>
  <si>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</si>
  <si>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</si>
  <si>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</si>
  <si>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</si>
  <si>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</si>
  <si>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</si>
  <si>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</si>
  <si>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</si>
  <si>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</si>
  <si>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</si>
  <si>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</si>
  <si>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</si>
  <si>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</si>
  <si>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</si>
  <si>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</si>
  <si>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</si>
  <si>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</si>
  <si>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</si>
  <si>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</si>
  <si>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</si>
  <si>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</si>
  <si>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</si>
  <si>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</si>
  <si>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</si>
  <si>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</si>
  <si>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</si>
  <si>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</si>
  <si>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</si>
  <si>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</si>
  <si>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</si>
  <si>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</si>
  <si>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</si>
  <si>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</si>
  <si>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</si>
  <si>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</si>
  <si>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</si>
  <si>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</si>
  <si>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</si>
  <si>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</si>
  <si>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</si>
  <si>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</si>
  <si>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</si>
  <si>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</si>
  <si>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</si>
  <si>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</si>
  <si>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</si>
  <si>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</si>
  <si>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</si>
  <si>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</si>
  <si>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</si>
  <si>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</si>
  <si>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</si>
  <si>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</si>
  <si>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</si>
  <si>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</si>
  <si>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</si>
  <si>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</si>
  <si>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</si>
  <si>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</si>
  <si>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</si>
  <si>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</si>
  <si>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</si>
  <si>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</si>
  <si>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</si>
  <si>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</si>
  <si>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</si>
  <si>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</si>
  <si>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</si>
  <si>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</si>
  <si>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</si>
  <si>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</si>
  <si>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</si>
  <si>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</si>
  <si>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</si>
  <si>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</si>
  <si>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</si>
  <si>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</si>
  <si>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</si>
  <si>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</si>
  <si>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</si>
  <si>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</si>
  <si>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</si>
  <si>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</si>
  <si>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</si>
  <si>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</si>
  <si>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</si>
  <si>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</si>
  <si>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</si>
  <si>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</si>
  <si>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</si>
  <si>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</si>
  <si>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</si>
  <si>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</si>
  <si>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</si>
  <si>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</si>
  <si>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</si>
  <si>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</si>
  <si>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</si>
  <si>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</si>
  <si>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</si>
  <si>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</si>
  <si>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</si>
  <si>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</si>
  <si>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</si>
  <si>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</si>
  <si>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</si>
  <si>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</si>
  <si>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</si>
  <si>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</si>
  <si>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</si>
  <si>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</si>
  <si>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</si>
  <si>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</si>
  <si>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</si>
  <si>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</si>
  <si>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</si>
  <si>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</si>
  <si>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</si>
  <si>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</si>
  <si>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</si>
  <si>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</si>
  <si>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</si>
  <si>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</si>
  <si>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</si>
  <si>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</si>
  <si>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</si>
  <si>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</si>
  <si>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</si>
  <si>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</si>
  <si>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</si>
  <si>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</si>
  <si>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</si>
  <si>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</si>
  <si>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</si>
  <si>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</si>
  <si>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</si>
  <si>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</si>
  <si>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</si>
  <si>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</si>
  <si>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</si>
  <si>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</si>
  <si>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</si>
  <si>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</si>
  <si>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</si>
  <si>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</si>
  <si>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</si>
  <si>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</si>
  <si>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</si>
  <si>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</si>
  <si>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</si>
  <si>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</si>
  <si>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</si>
  <si>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</si>
  <si>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</si>
  <si>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</si>
  <si>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</si>
  <si>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</si>
  <si>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</si>
  <si>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</si>
  <si>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</si>
  <si>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</si>
  <si>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</si>
  <si>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</si>
  <si>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</si>
  <si>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</si>
  <si>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</si>
  <si>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</si>
  <si>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</si>
  <si>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</si>
  <si>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</si>
  <si>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</si>
  <si>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</si>
  <si>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</si>
  <si>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</si>
  <si>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</si>
  <si>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</si>
  <si>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</si>
  <si>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</si>
  <si>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</si>
  <si>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</si>
  <si>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</si>
  <si>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</si>
  <si>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</si>
  <si>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</si>
  <si>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</si>
  <si>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</si>
  <si>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</si>
  <si>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</si>
  <si>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</si>
  <si>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</si>
  <si>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</si>
  <si>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</si>
  <si>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</si>
  <si>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</si>
  <si>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</si>
  <si>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</si>
  <si>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</si>
  <si>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</si>
  <si>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</si>
  <si>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</si>
  <si>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</si>
  <si>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</si>
  <si>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</si>
  <si>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</si>
  <si>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</si>
  <si>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</si>
  <si>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</si>
  <si>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</si>
  <si>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</si>
  <si>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</si>
  <si>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</si>
  <si>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</si>
  <si>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</si>
  <si>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</si>
  <si>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</si>
  <si>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</si>
  <si>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</si>
  <si>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</si>
  <si>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</si>
  <si>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</si>
  <si>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</si>
  <si>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</si>
  <si>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</si>
  <si>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</si>
  <si>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</si>
  <si>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</si>
  <si>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</si>
  <si>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</si>
  <si>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</si>
  <si>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</si>
  <si>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</si>
  <si>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</si>
  <si>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</si>
  <si>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</si>
  <si>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</si>
  <si>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</si>
  <si>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</si>
  <si>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</si>
  <si>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</si>
  <si>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</si>
  <si>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</si>
  <si>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</si>
  <si>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</si>
  <si>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</si>
  <si>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</si>
  <si>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</si>
  <si>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</si>
  <si>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</si>
  <si>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</si>
  <si>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</si>
  <si>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</si>
  <si>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</si>
  <si>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</si>
  <si>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</si>
  <si>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</si>
  <si>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</si>
  <si>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</si>
  <si>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</si>
  <si>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</si>
  <si>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</si>
  <si>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</si>
  <si>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</si>
  <si>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</si>
  <si>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</si>
  <si>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</si>
  <si>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</si>
  <si>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</si>
  <si>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</si>
  <si>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</si>
  <si>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</si>
  <si>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</si>
  <si>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</si>
  <si>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</si>
  <si>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</si>
  <si>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</si>
  <si>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</si>
  <si>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</si>
  <si>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</si>
  <si>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</si>
  <si>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</si>
  <si>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</si>
  <si>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</si>
  <si>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</si>
  <si>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</si>
  <si>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</si>
  <si>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</si>
  <si>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</si>
  <si>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</si>
  <si>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</si>
  <si>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</si>
  <si>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</si>
  <si>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</si>
  <si>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</si>
  <si>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</si>
  <si>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</si>
  <si>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</si>
  <si>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</si>
  <si>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</si>
  <si>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</si>
  <si>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</si>
  <si>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</si>
  <si>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</si>
  <si>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</si>
  <si>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</si>
  <si>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</si>
  <si>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</si>
  <si>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</si>
  <si>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</si>
  <si>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</si>
  <si>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</si>
  <si>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</si>
  <si>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</si>
  <si>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</si>
  <si>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</si>
  <si>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</si>
  <si>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</si>
  <si>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</si>
  <si>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</si>
  <si>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</si>
  <si>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</si>
  <si>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</si>
  <si>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</si>
  <si>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</si>
  <si>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</si>
  <si>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</si>
  <si>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</si>
  <si>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</si>
  <si>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</si>
  <si>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</si>
  <si>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</si>
  <si>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</si>
  <si>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</si>
  <si>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</si>
  <si>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</si>
  <si>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</si>
  <si>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</si>
  <si>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</si>
  <si>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</si>
  <si>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</si>
  <si>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</si>
  <si>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</si>
  <si>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</si>
  <si>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</si>
  <si>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</si>
  <si>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</si>
  <si>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</si>
  <si>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</si>
  <si>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</si>
  <si>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</si>
  <si>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</si>
  <si>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</si>
  <si>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</si>
  <si>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</si>
  <si>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</si>
  <si>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</si>
  <si>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</si>
  <si>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</si>
  <si>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</si>
  <si>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</si>
  <si>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</si>
  <si>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</si>
  <si>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</si>
  <si>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</si>
  <si>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</si>
  <si>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</si>
  <si>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11022</t>
  </si>
  <si>
    <t>KALMTHOUT</t>
  </si>
  <si>
    <t>Paarden&amp;pony's 200 - 600 kg</t>
  </si>
  <si>
    <t>Paarden&amp;pony's &lt; 200 kg</t>
  </si>
  <si>
    <t>op basis van VEA (maart 2018) en Inventaris Hernieuwbare Energiebronnen (juni 2018)</t>
  </si>
  <si>
    <t>VEA (juni 2018)</t>
  </si>
  <si>
    <t>Power Energy Kalmthout bvba</t>
  </si>
  <si>
    <t>Kruisbos 12, 2920 Kalmthout</t>
  </si>
  <si>
    <t>WKK-0046 WKK Power Energy Kalmthout</t>
  </si>
  <si>
    <t>interne verbrandingsmotor</t>
  </si>
  <si>
    <t>WKK interne verbrandinsgmotor (gas)</t>
  </si>
  <si>
    <t>IVEKA</t>
  </si>
  <si>
    <t>Paul Van Dyck</t>
  </si>
  <si>
    <t>Nieuwmoer-Dorp 14 , 2920 Kalmthout</t>
  </si>
  <si>
    <t>WKK-0467 Paul Van Dyck</t>
  </si>
  <si>
    <t>stirlingmotor</t>
  </si>
  <si>
    <t>Biolectric nv</t>
  </si>
  <si>
    <t>Jan de Malschelaan 4 B, 9140 Temse</t>
  </si>
  <si>
    <t>WKK-0478 Wim Verbreuken</t>
  </si>
  <si>
    <t>Roosendaalsebaan 140 A, 2920 Kalmthout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</si>
</sst>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11022</v>
      </c>
      <c r="B6" s="397"/>
      <c r="C6" s="398"/>
    </row>
    <row r="7" spans="1:7" s="395" customFormat="1" ht="15.75" customHeight="1">
      <c r="A7" s="399" t="str">
        <f>txtMunicipality</f>
        <v>KALMTHOUT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7090</v>
      </c>
      <c r="C9" s="338">
        <v>7223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2955</v>
      </c>
    </row>
    <row r="15" spans="1:6">
      <c r="A15" s="1205" t="s">
        <v>184</v>
      </c>
      <c r="B15" s="335">
        <v>599</v>
      </c>
    </row>
    <row r="16" spans="1:6">
      <c r="A16" s="1205" t="s">
        <v>6</v>
      </c>
      <c r="B16" s="335">
        <v>3254</v>
      </c>
    </row>
    <row r="17" spans="1:6">
      <c r="A17" s="1205" t="s">
        <v>7</v>
      </c>
      <c r="B17" s="335">
        <v>178</v>
      </c>
    </row>
    <row r="18" spans="1:6">
      <c r="A18" s="1205" t="s">
        <v>8</v>
      </c>
      <c r="B18" s="335">
        <v>1653</v>
      </c>
    </row>
    <row r="19" spans="1:6">
      <c r="A19" s="1205" t="s">
        <v>9</v>
      </c>
      <c r="B19" s="335">
        <v>1430</v>
      </c>
    </row>
    <row r="20" spans="1:6">
      <c r="A20" s="1205" t="s">
        <v>10</v>
      </c>
      <c r="B20" s="335">
        <v>826</v>
      </c>
    </row>
    <row r="21" spans="1:6">
      <c r="A21" s="1205" t="s">
        <v>11</v>
      </c>
      <c r="B21" s="335">
        <v>9249</v>
      </c>
    </row>
    <row r="22" spans="1:6">
      <c r="A22" s="1205" t="s">
        <v>12</v>
      </c>
      <c r="B22" s="335">
        <v>20651</v>
      </c>
    </row>
    <row r="23" spans="1:6">
      <c r="A23" s="1205" t="s">
        <v>13</v>
      </c>
      <c r="B23" s="335">
        <v>377</v>
      </c>
    </row>
    <row r="24" spans="1:6">
      <c r="A24" s="1205" t="s">
        <v>14</v>
      </c>
      <c r="B24" s="335">
        <v>17</v>
      </c>
    </row>
    <row r="25" spans="1:6">
      <c r="A25" s="1205" t="s">
        <v>15</v>
      </c>
      <c r="B25" s="335">
        <v>1732</v>
      </c>
    </row>
    <row r="26" spans="1:6">
      <c r="A26" s="1205" t="s">
        <v>16</v>
      </c>
      <c r="B26" s="335">
        <v>50</v>
      </c>
    </row>
    <row r="27" spans="1:6">
      <c r="A27" s="1205" t="s">
        <v>17</v>
      </c>
      <c r="B27" s="335">
        <v>506</v>
      </c>
    </row>
    <row r="28" spans="1:6" s="341" customFormat="1">
      <c r="A28" s="1206" t="s">
        <v>18</v>
      </c>
      <c r="B28" s="1206">
        <v>184235</v>
      </c>
    </row>
    <row r="29" spans="1:6">
      <c r="A29" s="1206" t="s">
        <v>873</v>
      </c>
      <c r="B29" s="1206">
        <v>224</v>
      </c>
      <c r="C29" s="341"/>
      <c r="D29" s="341"/>
      <c r="E29" s="341"/>
      <c r="F29" s="341"/>
    </row>
    <row r="30" spans="1:6">
      <c r="A30" s="1201" t="s">
        <v>874</v>
      </c>
      <c r="B30" s="1201">
        <v>60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215397.587251333</v>
      </c>
      <c r="E38" s="335">
        <v>7</v>
      </c>
      <c r="F38" s="335">
        <v>87682.294375839701</v>
      </c>
    </row>
    <row r="39" spans="1:6">
      <c r="A39" s="1205" t="s">
        <v>30</v>
      </c>
      <c r="B39" s="1205" t="s">
        <v>31</v>
      </c>
      <c r="C39" s="335">
        <v>5237</v>
      </c>
      <c r="D39" s="335">
        <v>123080887.062075</v>
      </c>
      <c r="E39" s="335">
        <v>6940</v>
      </c>
      <c r="F39" s="335">
        <v>34266267.331189997</v>
      </c>
    </row>
    <row r="40" spans="1:6">
      <c r="A40" s="1205" t="s">
        <v>30</v>
      </c>
      <c r="B40" s="1205" t="s">
        <v>29</v>
      </c>
      <c r="C40" s="335">
        <v>0</v>
      </c>
      <c r="D40" s="335">
        <v>0</v>
      </c>
      <c r="E40" s="335">
        <v>0</v>
      </c>
      <c r="F40" s="335">
        <v>0</v>
      </c>
    </row>
    <row r="41" spans="1:6">
      <c r="A41" s="1205" t="s">
        <v>32</v>
      </c>
      <c r="B41" s="1205" t="s">
        <v>33</v>
      </c>
      <c r="C41" s="335">
        <v>69</v>
      </c>
      <c r="D41" s="335">
        <v>1992981.25528942</v>
      </c>
      <c r="E41" s="335">
        <v>147</v>
      </c>
      <c r="F41" s="335">
        <v>1598610.4340484201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8</v>
      </c>
      <c r="D44" s="335">
        <v>275328.21199913102</v>
      </c>
      <c r="E44" s="335">
        <v>16</v>
      </c>
      <c r="F44" s="335">
        <v>885778.65037067397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4</v>
      </c>
      <c r="D47" s="335">
        <v>114115.18733397</v>
      </c>
      <c r="E47" s="335">
        <v>5</v>
      </c>
      <c r="F47" s="335">
        <v>132647.087855864</v>
      </c>
    </row>
    <row r="48" spans="1:6">
      <c r="A48" s="1205" t="s">
        <v>32</v>
      </c>
      <c r="B48" s="1205" t="s">
        <v>29</v>
      </c>
      <c r="C48" s="335">
        <v>30</v>
      </c>
      <c r="D48" s="335">
        <v>12318900.0303209</v>
      </c>
      <c r="E48" s="335">
        <v>32</v>
      </c>
      <c r="F48" s="335">
        <v>5110899.0201973496</v>
      </c>
    </row>
    <row r="49" spans="1:6">
      <c r="A49" s="1205" t="s">
        <v>32</v>
      </c>
      <c r="B49" s="1205" t="s">
        <v>40</v>
      </c>
      <c r="C49" s="335">
        <v>0</v>
      </c>
      <c r="D49" s="335">
        <v>0</v>
      </c>
      <c r="E49" s="335">
        <v>0</v>
      </c>
      <c r="F49" s="335">
        <v>0</v>
      </c>
    </row>
    <row r="50" spans="1:6">
      <c r="A50" s="1205" t="s">
        <v>32</v>
      </c>
      <c r="B50" s="1205" t="s">
        <v>41</v>
      </c>
      <c r="C50" s="335">
        <v>11</v>
      </c>
      <c r="D50" s="335">
        <v>2182232.3643723698</v>
      </c>
      <c r="E50" s="335">
        <v>17</v>
      </c>
      <c r="F50" s="335">
        <v>7892222.8170761401</v>
      </c>
    </row>
    <row r="51" spans="1:6">
      <c r="A51" s="1205" t="s">
        <v>42</v>
      </c>
      <c r="B51" s="1205" t="s">
        <v>43</v>
      </c>
      <c r="C51" s="335">
        <v>20</v>
      </c>
      <c r="D51" s="335">
        <v>623485.37312612904</v>
      </c>
      <c r="E51" s="335">
        <v>113</v>
      </c>
      <c r="F51" s="335">
        <v>3211116.9597969302</v>
      </c>
    </row>
    <row r="52" spans="1:6">
      <c r="A52" s="1205" t="s">
        <v>42</v>
      </c>
      <c r="B52" s="1205" t="s">
        <v>29</v>
      </c>
      <c r="C52" s="335">
        <v>8</v>
      </c>
      <c r="D52" s="335">
        <v>38728556.3421854</v>
      </c>
      <c r="E52" s="335">
        <v>5</v>
      </c>
      <c r="F52" s="335">
        <v>49660.890504429903</v>
      </c>
    </row>
    <row r="53" spans="1:6">
      <c r="A53" s="1205" t="s">
        <v>44</v>
      </c>
      <c r="B53" s="1205" t="s">
        <v>45</v>
      </c>
      <c r="C53" s="335">
        <v>91</v>
      </c>
      <c r="D53" s="335">
        <v>3832292.86198078</v>
      </c>
      <c r="E53" s="335">
        <v>164</v>
      </c>
      <c r="F53" s="335">
        <v>1034946.59901391</v>
      </c>
    </row>
    <row r="54" spans="1:6">
      <c r="A54" s="1205" t="s">
        <v>46</v>
      </c>
      <c r="B54" s="1205" t="s">
        <v>47</v>
      </c>
      <c r="C54" s="335">
        <v>0</v>
      </c>
      <c r="D54" s="335">
        <v>0</v>
      </c>
      <c r="E54" s="335">
        <v>1</v>
      </c>
      <c r="F54" s="335">
        <v>1087078</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26</v>
      </c>
      <c r="D57" s="335">
        <v>847690.37762573105</v>
      </c>
      <c r="E57" s="335">
        <v>51</v>
      </c>
      <c r="F57" s="335">
        <v>2605974.0679317499</v>
      </c>
    </row>
    <row r="58" spans="1:6">
      <c r="A58" s="1205" t="s">
        <v>49</v>
      </c>
      <c r="B58" s="1205" t="s">
        <v>51</v>
      </c>
      <c r="C58" s="335">
        <v>23</v>
      </c>
      <c r="D58" s="335">
        <v>907285.24233053904</v>
      </c>
      <c r="E58" s="335">
        <v>27</v>
      </c>
      <c r="F58" s="335">
        <v>208432.03554147499</v>
      </c>
    </row>
    <row r="59" spans="1:6">
      <c r="A59" s="1205" t="s">
        <v>49</v>
      </c>
      <c r="B59" s="1205" t="s">
        <v>52</v>
      </c>
      <c r="C59" s="335">
        <v>103</v>
      </c>
      <c r="D59" s="335">
        <v>4192170.0395595799</v>
      </c>
      <c r="E59" s="335">
        <v>198</v>
      </c>
      <c r="F59" s="335">
        <v>6492435.9136202997</v>
      </c>
    </row>
    <row r="60" spans="1:6">
      <c r="A60" s="1205" t="s">
        <v>49</v>
      </c>
      <c r="B60" s="1205" t="s">
        <v>53</v>
      </c>
      <c r="C60" s="335">
        <v>64</v>
      </c>
      <c r="D60" s="335">
        <v>3673097.5135171399</v>
      </c>
      <c r="E60" s="335">
        <v>76</v>
      </c>
      <c r="F60" s="335">
        <v>1866208.88537592</v>
      </c>
    </row>
    <row r="61" spans="1:6">
      <c r="A61" s="1205" t="s">
        <v>49</v>
      </c>
      <c r="B61" s="1205" t="s">
        <v>54</v>
      </c>
      <c r="C61" s="335">
        <v>199</v>
      </c>
      <c r="D61" s="335">
        <v>12954714.646256899</v>
      </c>
      <c r="E61" s="335">
        <v>373</v>
      </c>
      <c r="F61" s="335">
        <v>4973241.7883838797</v>
      </c>
    </row>
    <row r="62" spans="1:6">
      <c r="A62" s="1205" t="s">
        <v>49</v>
      </c>
      <c r="B62" s="1205" t="s">
        <v>55</v>
      </c>
      <c r="C62" s="335">
        <v>13</v>
      </c>
      <c r="D62" s="335">
        <v>2568723.9751963802</v>
      </c>
      <c r="E62" s="335">
        <v>20</v>
      </c>
      <c r="F62" s="335">
        <v>719469.43000485701</v>
      </c>
    </row>
    <row r="63" spans="1:6">
      <c r="A63" s="1205" t="s">
        <v>49</v>
      </c>
      <c r="B63" s="1205" t="s">
        <v>29</v>
      </c>
      <c r="C63" s="335">
        <v>104</v>
      </c>
      <c r="D63" s="335">
        <v>5712827.47180478</v>
      </c>
      <c r="E63" s="335">
        <v>107</v>
      </c>
      <c r="F63" s="335">
        <v>2373752.3221456502</v>
      </c>
    </row>
    <row r="64" spans="1:6">
      <c r="A64" s="1205" t="s">
        <v>56</v>
      </c>
      <c r="B64" s="1205" t="s">
        <v>57</v>
      </c>
      <c r="C64" s="335">
        <v>0</v>
      </c>
      <c r="D64" s="335">
        <v>0</v>
      </c>
      <c r="E64" s="335">
        <v>0</v>
      </c>
      <c r="F64" s="335">
        <v>0</v>
      </c>
    </row>
    <row r="65" spans="1:6">
      <c r="A65" s="1205" t="s">
        <v>56</v>
      </c>
      <c r="B65" s="1205" t="s">
        <v>29</v>
      </c>
      <c r="C65" s="335">
        <v>1</v>
      </c>
      <c r="D65" s="335">
        <v>14082.897343893599</v>
      </c>
      <c r="E65" s="335">
        <v>1</v>
      </c>
      <c r="F65" s="335">
        <v>9448.4374064282001</v>
      </c>
    </row>
    <row r="66" spans="1:6">
      <c r="A66" s="1205" t="s">
        <v>56</v>
      </c>
      <c r="B66" s="1205" t="s">
        <v>58</v>
      </c>
      <c r="C66" s="335">
        <v>0</v>
      </c>
      <c r="D66" s="335">
        <v>0</v>
      </c>
      <c r="E66" s="335">
        <v>0</v>
      </c>
      <c r="F66" s="335">
        <v>0</v>
      </c>
    </row>
    <row r="67" spans="1:6">
      <c r="A67" s="1206" t="s">
        <v>56</v>
      </c>
      <c r="B67" s="1206" t="s">
        <v>59</v>
      </c>
      <c r="C67" s="335">
        <v>0</v>
      </c>
      <c r="D67" s="335">
        <v>0</v>
      </c>
      <c r="E67" s="335">
        <v>3</v>
      </c>
      <c r="F67" s="335">
        <v>36489.897009901601</v>
      </c>
    </row>
    <row r="68" spans="1:6">
      <c r="A68" s="1201" t="s">
        <v>56</v>
      </c>
      <c r="B68" s="1201" t="s">
        <v>60</v>
      </c>
      <c r="C68" s="335">
        <v>5</v>
      </c>
      <c r="D68" s="335">
        <v>150108.70362626499</v>
      </c>
      <c r="E68" s="335">
        <v>10</v>
      </c>
      <c r="F68" s="335">
        <v>204456.05454281301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74465467</v>
      </c>
      <c r="E73" s="335">
        <v>77604211.091920674</v>
      </c>
    </row>
    <row r="74" spans="1:6">
      <c r="A74" s="1205" t="s">
        <v>64</v>
      </c>
      <c r="B74" s="1205" t="s">
        <v>772</v>
      </c>
      <c r="C74" s="1216" t="s">
        <v>766</v>
      </c>
      <c r="D74" s="335">
        <v>4848201.5406588325</v>
      </c>
      <c r="E74" s="335">
        <v>5236336.1568123801</v>
      </c>
    </row>
    <row r="75" spans="1:6">
      <c r="A75" s="1205" t="s">
        <v>65</v>
      </c>
      <c r="B75" s="1205" t="s">
        <v>771</v>
      </c>
      <c r="C75" s="1216" t="s">
        <v>767</v>
      </c>
      <c r="D75" s="335">
        <v>16544008</v>
      </c>
      <c r="E75" s="335">
        <v>17211145.04554322</v>
      </c>
    </row>
    <row r="76" spans="1:6">
      <c r="A76" s="1205" t="s">
        <v>65</v>
      </c>
      <c r="B76" s="1205" t="s">
        <v>772</v>
      </c>
      <c r="C76" s="1216" t="s">
        <v>768</v>
      </c>
      <c r="D76" s="335">
        <v>620186.54065883229</v>
      </c>
      <c r="E76" s="335">
        <v>684521.36145321722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276278.91868233547</v>
      </c>
      <c r="C83" s="335">
        <v>260072.80184118077</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10181.125773829213</v>
      </c>
    </row>
    <row r="91" spans="1:6">
      <c r="A91" s="1205" t="s">
        <v>68</v>
      </c>
      <c r="B91" s="335">
        <v>2699.248516845013</v>
      </c>
    </row>
    <row r="92" spans="1:6">
      <c r="A92" s="1201" t="s">
        <v>69</v>
      </c>
      <c r="B92" s="338">
        <v>1249.1314658490223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3771</v>
      </c>
    </row>
    <row r="98" spans="1:6">
      <c r="A98" s="1205" t="s">
        <v>72</v>
      </c>
      <c r="B98" s="335">
        <v>6</v>
      </c>
    </row>
    <row r="99" spans="1:6">
      <c r="A99" s="1205" t="s">
        <v>73</v>
      </c>
      <c r="B99" s="335">
        <v>60</v>
      </c>
    </row>
    <row r="100" spans="1:6">
      <c r="A100" s="1205" t="s">
        <v>74</v>
      </c>
      <c r="B100" s="335">
        <v>624</v>
      </c>
    </row>
    <row r="101" spans="1:6">
      <c r="A101" s="1205" t="s">
        <v>75</v>
      </c>
      <c r="B101" s="335">
        <v>113</v>
      </c>
    </row>
    <row r="102" spans="1:6">
      <c r="A102" s="1205" t="s">
        <v>76</v>
      </c>
      <c r="B102" s="335">
        <v>88</v>
      </c>
    </row>
    <row r="103" spans="1:6">
      <c r="A103" s="1205" t="s">
        <v>77</v>
      </c>
      <c r="B103" s="335">
        <v>105</v>
      </c>
    </row>
    <row r="104" spans="1:6">
      <c r="A104" s="1205" t="s">
        <v>78</v>
      </c>
      <c r="B104" s="335">
        <v>1450</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15</v>
      </c>
    </row>
    <row r="124" spans="1:6">
      <c r="A124" s="1201" t="s">
        <v>89</v>
      </c>
      <c r="B124" s="335">
        <v>1</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69</v>
      </c>
    </row>
    <row r="130" spans="1:6">
      <c r="A130" s="1205" t="s">
        <v>295</v>
      </c>
      <c r="B130" s="335">
        <v>0</v>
      </c>
    </row>
    <row r="131" spans="1:6">
      <c r="A131" s="1205" t="s">
        <v>296</v>
      </c>
      <c r="B131" s="335">
        <v>0</v>
      </c>
    </row>
    <row r="132" spans="1:6">
      <c r="A132" s="1201" t="s">
        <v>297</v>
      </c>
      <c r="B132" s="338">
        <v>11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76174.958992851738</v>
      </c>
      <c r="C3" s="44" t="s">
        <v>170</v>
      </c>
      <c r="D3" s="44"/>
      <c r="E3" s="157"/>
      <c r="F3" s="44"/>
      <c r="G3" s="44"/>
      <c r="H3" s="44"/>
      <c r="I3" s="44"/>
      <c r="J3" s="44"/>
      <c r="K3" s="97"/>
    </row>
    <row r="4" spans="1:11">
      <c r="A4" s="365" t="s">
        <v>171</v>
      </c>
      <c r="B4" s="50">
        <f>IF(ISERROR('SEAP template'!B69),0,'SEAP template'!B69)</f>
        <v>23236.605756523248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2153.8883118774897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0.18186113337331863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3077.363402408223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13011.749999999998</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0.23650649623672629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1087.078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1087.078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0.18186113337331863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197.69723714520046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34266.26733119</v>
      </c>
      <c r="C5" s="18">
        <f>IF(ISERROR('Eigen informatie GS &amp; warmtenet'!B57),0,'Eigen informatie GS &amp; warmtenet'!B57)</f>
        <v>0</v>
      </c>
      <c r="D5" s="31">
        <f>(SUM(HH_hh_gas_kWh,HH_rest_gas_kWh)/1000)*0.902</f>
        <v>111018.96012999167</v>
      </c>
      <c r="E5" s="18">
        <f>B46*B57</f>
        <v>3037.5435388526325</v>
      </c>
      <c r="F5" s="18">
        <f>B51*B62</f>
        <v>0</v>
      </c>
      <c r="G5" s="19"/>
      <c r="H5" s="18"/>
      <c r="I5" s="18"/>
      <c r="J5" s="18">
        <f>B50*B61+C50*C61</f>
        <v>0</v>
      </c>
      <c r="K5" s="18"/>
      <c r="L5" s="18"/>
      <c r="M5" s="18"/>
      <c r="N5" s="18">
        <f>B48*B59+C48*C59</f>
        <v>18578.238729633555</v>
      </c>
      <c r="O5" s="18">
        <f>B69*B70*B71</f>
        <v>134.44666666666666</v>
      </c>
      <c r="P5" s="18">
        <f>B77*B78*B79/1000-B77*B78*B79/1000/B80</f>
        <v>419.4666666666667</v>
      </c>
    </row>
    <row r="6" spans="1:16">
      <c r="A6" s="17" t="s">
        <v>639</v>
      </c>
      <c r="B6" s="831">
        <f>kWh_PV_kleiner_dan_10kW</f>
        <v>2699.248516845013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36965.515848035015</v>
      </c>
      <c r="C8" s="22">
        <f>C5</f>
        <v>0</v>
      </c>
      <c r="D8" s="22">
        <f>D5</f>
        <v>111018.96012999167</v>
      </c>
      <c r="E8" s="22">
        <f>E5</f>
        <v>3037.5435388526325</v>
      </c>
      <c r="F8" s="22">
        <f>F5</f>
        <v>0</v>
      </c>
      <c r="G8" s="22"/>
      <c r="H8" s="22"/>
      <c r="I8" s="22"/>
      <c r="J8" s="22">
        <f>J5</f>
        <v>0</v>
      </c>
      <c r="K8" s="22"/>
      <c r="L8" s="22">
        <f>L5</f>
        <v>0</v>
      </c>
      <c r="M8" s="22">
        <f>M5</f>
        <v>0</v>
      </c>
      <c r="N8" s="22">
        <f>N5</f>
        <v>18578.238729633555</v>
      </c>
      <c r="O8" s="22">
        <f>O5</f>
        <v>134.44666666666666</v>
      </c>
      <c r="P8" s="22">
        <f>P5</f>
        <v>419.4666666666667</v>
      </c>
    </row>
    <row r="9" spans="1:16">
      <c r="B9" s="20"/>
      <c r="C9" s="20"/>
      <c r="D9" s="262"/>
      <c r="E9" s="20"/>
      <c r="F9" s="20"/>
      <c r="G9" s="20"/>
      <c r="H9" s="20"/>
      <c r="I9" s="20"/>
      <c r="J9" s="20"/>
      <c r="K9" s="20"/>
      <c r="L9" s="20"/>
      <c r="M9" s="20"/>
      <c r="N9" s="20"/>
      <c r="O9" s="20"/>
      <c r="P9" s="20"/>
    </row>
    <row r="10" spans="1:16">
      <c r="A10" s="25" t="s">
        <v>214</v>
      </c>
      <c r="B10" s="26">
        <f ca="1">'EF ele_warmte'!B12</f>
        <v>0.18186113337331863</v>
      </c>
      <c r="C10" s="26">
        <f ca="1">'EF ele_warmte'!B22</f>
        <v>0.23650649623672629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6722.5906078530197</v>
      </c>
      <c r="C12" s="24">
        <f ca="1">C10*C8</f>
        <v>0</v>
      </c>
      <c r="D12" s="24">
        <f>D8*D10</f>
        <v>22425.82994625832</v>
      </c>
      <c r="E12" s="24">
        <f>E10*E8</f>
        <v>689.52238331954766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3771</v>
      </c>
      <c r="C18" s="169" t="s">
        <v>111</v>
      </c>
      <c r="D18" s="231"/>
      <c r="E18" s="16"/>
    </row>
    <row r="19" spans="1:7">
      <c r="A19" s="174" t="s">
        <v>72</v>
      </c>
      <c r="B19" s="38">
        <f>aantalw2001_ander</f>
        <v>6</v>
      </c>
      <c r="C19" s="169" t="s">
        <v>111</v>
      </c>
      <c r="D19" s="232"/>
      <c r="E19" s="16"/>
    </row>
    <row r="20" spans="1:7">
      <c r="A20" s="174" t="s">
        <v>73</v>
      </c>
      <c r="B20" s="38">
        <f>aantalw2001_propaan</f>
        <v>60</v>
      </c>
      <c r="C20" s="170">
        <f>IF(ISERROR(B20/SUM($B$20,$B$21,$B$22)*100),0,B20/SUM($B$20,$B$21,$B$22)*100)</f>
        <v>7.5282308657465489</v>
      </c>
      <c r="D20" s="232"/>
      <c r="E20" s="16"/>
    </row>
    <row r="21" spans="1:7">
      <c r="A21" s="174" t="s">
        <v>74</v>
      </c>
      <c r="B21" s="38">
        <f>aantalw2001_elektriciteit</f>
        <v>624</v>
      </c>
      <c r="C21" s="170">
        <f>IF(ISERROR(B21/SUM($B$20,$B$21,$B$22)*100),0,B21/SUM($B$20,$B$21,$B$22)*100)</f>
        <v>78.29360100376411</v>
      </c>
      <c r="D21" s="232"/>
      <c r="E21" s="16"/>
    </row>
    <row r="22" spans="1:7">
      <c r="A22" s="174" t="s">
        <v>75</v>
      </c>
      <c r="B22" s="38">
        <f>aantalw2001_hout</f>
        <v>113</v>
      </c>
      <c r="C22" s="170">
        <f>IF(ISERROR(B22/SUM($B$20,$B$21,$B$22)*100),0,B22/SUM($B$20,$B$21,$B$22)*100)</f>
        <v>14.178168130489336</v>
      </c>
      <c r="D22" s="232"/>
      <c r="E22" s="16"/>
    </row>
    <row r="23" spans="1:7">
      <c r="A23" s="174" t="s">
        <v>76</v>
      </c>
      <c r="B23" s="38">
        <f>aantalw2001_niet_gespec</f>
        <v>88</v>
      </c>
      <c r="C23" s="169" t="s">
        <v>111</v>
      </c>
      <c r="D23" s="231"/>
      <c r="E23" s="16"/>
    </row>
    <row r="24" spans="1:7">
      <c r="A24" s="174" t="s">
        <v>77</v>
      </c>
      <c r="B24" s="38">
        <f>aantalw2001_steenkool</f>
        <v>105</v>
      </c>
      <c r="C24" s="169" t="s">
        <v>111</v>
      </c>
      <c r="D24" s="232"/>
      <c r="E24" s="16"/>
    </row>
    <row r="25" spans="1:7">
      <c r="A25" s="174" t="s">
        <v>78</v>
      </c>
      <c r="B25" s="38">
        <f>aantalw2001_stookolie</f>
        <v>1450</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7090</v>
      </c>
      <c r="C28" s="37"/>
      <c r="D28" s="231"/>
    </row>
    <row r="29" spans="1:7" s="16" customFormat="1">
      <c r="A29" s="233" t="s">
        <v>666</v>
      </c>
      <c r="B29" s="38">
        <f>SUM(HH_hh_gas_aantal,HH_rest_gas_aantal)</f>
        <v>5237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5237</v>
      </c>
      <c r="C32" s="170">
        <f>IF(ISERROR(B32/SUM($B$32,$B$34,$B$35,$B$36,$B$38,$B$39)*100),0,B32/SUM($B$32,$B$34,$B$35,$B$36,$B$38,$B$39)*100)</f>
        <v>74.094510469722692</v>
      </c>
      <c r="D32" s="236"/>
      <c r="G32" s="16"/>
    </row>
    <row r="33" spans="1:7">
      <c r="A33" s="174" t="s">
        <v>72</v>
      </c>
      <c r="B33" s="35" t="s">
        <v>111</v>
      </c>
      <c r="C33" s="170"/>
      <c r="D33" s="236"/>
      <c r="G33" s="16"/>
    </row>
    <row r="34" spans="1:7">
      <c r="A34" s="174" t="s">
        <v>73</v>
      </c>
      <c r="B34" s="34">
        <f>IF((($B$28-$B$32-$B$39-$B$77-$B$38)*C20/100)&lt;0,0,($B$28-$B$32-$B$39-$B$77-$B$38)*C20/100)</f>
        <v>137.8419071518193</v>
      </c>
      <c r="C34" s="170">
        <f>IF(ISERROR(B34/SUM($B$32,$B$34,$B$35,$B$36,$B$38,$B$39)*100),0,B34/SUM($B$32,$B$34,$B$35,$B$36,$B$38,$B$39)*100)</f>
        <v>1.9502250587410768</v>
      </c>
      <c r="D34" s="236"/>
      <c r="G34" s="16"/>
    </row>
    <row r="35" spans="1:7">
      <c r="A35" s="174" t="s">
        <v>74</v>
      </c>
      <c r="B35" s="34">
        <f>IF((($B$28-$B$32-$B$39-$B$77-$B$38)*C21/100)&lt;0,0,($B$28-$B$32-$B$39-$B$77-$B$38)*C21/100)</f>
        <v>1433.5558343789207</v>
      </c>
      <c r="C35" s="170">
        <f>IF(ISERROR(B35/SUM($B$32,$B$34,$B$35,$B$36,$B$38,$B$39)*100),0,B35/SUM($B$32,$B$34,$B$35,$B$36,$B$38,$B$39)*100)</f>
        <v>20.282340610907198</v>
      </c>
      <c r="D35" s="236"/>
      <c r="G35" s="16"/>
    </row>
    <row r="36" spans="1:7">
      <c r="A36" s="174" t="s">
        <v>75</v>
      </c>
      <c r="B36" s="34">
        <f>IF((($B$28-$B$32-$B$39-$B$77-$B$38)*C22/100)&lt;0,0,($B$28-$B$32-$B$39-$B$77-$B$38)*C22/100)</f>
        <v>259.60225846925977</v>
      </c>
      <c r="C36" s="170">
        <f>IF(ISERROR(B36/SUM($B$32,$B$34,$B$35,$B$36,$B$38,$B$39)*100),0,B36/SUM($B$32,$B$34,$B$35,$B$36,$B$38,$B$39)*100)</f>
        <v>3.6729238606290284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5237</v>
      </c>
      <c r="C44" s="35" t="s">
        <v>111</v>
      </c>
      <c r="D44" s="177"/>
    </row>
    <row r="45" spans="1:7">
      <c r="A45" s="174" t="s">
        <v>72</v>
      </c>
      <c r="B45" s="34" t="str">
        <f t="shared" si="0"/>
        <v>-</v>
      </c>
      <c r="C45" s="35" t="s">
        <v>111</v>
      </c>
      <c r="D45" s="177"/>
    </row>
    <row r="46" spans="1:7">
      <c r="A46" s="174" t="s">
        <v>73</v>
      </c>
      <c r="B46" s="34">
        <f t="shared" si="0"/>
        <v>137.8419071518193</v>
      </c>
      <c r="C46" s="35" t="s">
        <v>111</v>
      </c>
      <c r="D46" s="177"/>
    </row>
    <row r="47" spans="1:7">
      <c r="A47" s="174" t="s">
        <v>74</v>
      </c>
      <c r="B47" s="34">
        <f t="shared" si="0"/>
        <v>1433.5558343789207</v>
      </c>
      <c r="C47" s="35" t="s">
        <v>111</v>
      </c>
      <c r="D47" s="177"/>
    </row>
    <row r="48" spans="1:7">
      <c r="A48" s="174" t="s">
        <v>75</v>
      </c>
      <c r="B48" s="34">
        <f t="shared" si="0"/>
        <v>259.60225846925977</v>
      </c>
      <c r="C48" s="34">
        <f>B48*10</f>
        <v>2596.0225846925978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22</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19239.514443003831</v>
      </c>
      <c r="C5" s="18">
        <f>IF(ISERROR('Eigen informatie GS &amp; warmtenet'!B58),0,'Eigen informatie GS &amp; warmtenet'!B58)</f>
        <v>0</v>
      </c>
      <c r="D5" s="31">
        <f>SUM(D6:D12)</f>
        <v>27832.571358194531</v>
      </c>
      <c r="E5" s="18">
        <f>SUM(E6:E12)</f>
        <v>182.4469101734681</v>
      </c>
      <c r="F5" s="18">
        <f>SUM(F6:F12)</f>
        <v>3921.279672375284</v>
      </c>
      <c r="G5" s="19"/>
      <c r="H5" s="18"/>
      <c r="I5" s="18"/>
      <c r="J5" s="18">
        <f>SUM(J6:J12)</f>
        <v>0</v>
      </c>
      <c r="K5" s="18"/>
      <c r="L5" s="18"/>
      <c r="M5" s="18"/>
      <c r="N5" s="18">
        <f>SUM(N6:N12)</f>
        <v>1697.055335481552</v>
      </c>
      <c r="O5" s="18">
        <f>B38*B39*B40</f>
        <v>0</v>
      </c>
      <c r="P5" s="18">
        <f>B46*B47*B48/1000-B46*B47*B48/1000/B49</f>
        <v>0</v>
      </c>
      <c r="R5" s="33"/>
    </row>
    <row r="6" spans="1:18">
      <c r="A6" s="33" t="s">
        <v>54</v>
      </c>
      <c r="B6" s="38">
        <f>B26</f>
        <v>4973.2417883838798</v>
      </c>
      <c r="C6" s="34"/>
      <c r="D6" s="38">
        <f>IF(ISERROR(TER_kantoor_gas_kWh/1000),0,TER_kantoor_gas_kWh/1000)*0.902</f>
        <v>11685.152610923724</v>
      </c>
      <c r="E6" s="34">
        <f>$C$26*'E Balans VL '!I12/100/3.6*1000000</f>
        <v>8.162097730739589</v>
      </c>
      <c r="F6" s="34">
        <f>$C$26*('E Balans VL '!L12+'E Balans VL '!N12)/100/3.6*1000000</f>
        <v>586.22819282557214</v>
      </c>
      <c r="G6" s="35"/>
      <c r="H6" s="34"/>
      <c r="I6" s="34"/>
      <c r="J6" s="34">
        <f>$C$26*('E Balans VL '!D12+'E Balans VL '!E12)/100/3.6*1000000</f>
        <v>0</v>
      </c>
      <c r="K6" s="34"/>
      <c r="L6" s="34"/>
      <c r="M6" s="34"/>
      <c r="N6" s="34">
        <f>$C$26*'E Balans VL '!Y12/100/3.6*1000000</f>
        <v>1.0048199531150992</v>
      </c>
      <c r="O6" s="34"/>
      <c r="P6" s="34"/>
      <c r="R6" s="33"/>
    </row>
    <row r="7" spans="1:18">
      <c r="A7" s="33" t="s">
        <v>53</v>
      </c>
      <c r="B7" s="38">
        <f t="shared" ref="B7:B12" si="0">B27</f>
        <v>1866.2088853759201</v>
      </c>
      <c r="C7" s="34"/>
      <c r="D7" s="38">
        <f>IF(ISERROR(TER_horeca_gas_kWh/1000),0,TER_horeca_gas_kWh/1000)*0.902</f>
        <v>3313.13395719246</v>
      </c>
      <c r="E7" s="34">
        <f>$C$27*'E Balans VL '!I9/100/3.6*1000000</f>
        <v>96.842736974537061</v>
      </c>
      <c r="F7" s="34">
        <f>$C$27*('E Balans VL '!L9+'E Balans VL '!N9)/100/3.6*1000000</f>
        <v>425.87022177066353</v>
      </c>
      <c r="G7" s="35"/>
      <c r="H7" s="34"/>
      <c r="I7" s="34"/>
      <c r="J7" s="34">
        <f>$C$27*('E Balans VL '!D9+'E Balans VL '!E9)/100/3.6*1000000</f>
        <v>0</v>
      </c>
      <c r="K7" s="34"/>
      <c r="L7" s="34"/>
      <c r="M7" s="34"/>
      <c r="N7" s="34">
        <f>$C$27*'E Balans VL '!Y9/100/3.6*1000000</f>
        <v>0.1970708030681641</v>
      </c>
      <c r="O7" s="34"/>
      <c r="P7" s="34"/>
      <c r="R7" s="33"/>
    </row>
    <row r="8" spans="1:18">
      <c r="A8" s="6" t="s">
        <v>52</v>
      </c>
      <c r="B8" s="38">
        <f t="shared" si="0"/>
        <v>6492.4359136202993</v>
      </c>
      <c r="C8" s="34"/>
      <c r="D8" s="38">
        <f>IF(ISERROR(TER_handel_gas_kWh/1000),0,TER_handel_gas_kWh/1000)*0.902</f>
        <v>3781.3373756827414</v>
      </c>
      <c r="E8" s="34">
        <f>$C$28*'E Balans VL '!I13/100/3.6*1000000</f>
        <v>34.962565209181001</v>
      </c>
      <c r="F8" s="34">
        <f>$C$28*('E Balans VL '!L13+'E Balans VL '!N13)/100/3.6*1000000</f>
        <v>1324.0006206052469</v>
      </c>
      <c r="G8" s="35"/>
      <c r="H8" s="34"/>
      <c r="I8" s="34"/>
      <c r="J8" s="34">
        <f>$C$28*('E Balans VL '!D13+'E Balans VL '!E13)/100/3.6*1000000</f>
        <v>0</v>
      </c>
      <c r="K8" s="34"/>
      <c r="L8" s="34"/>
      <c r="M8" s="34"/>
      <c r="N8" s="34">
        <f>$C$28*'E Balans VL '!Y13/100/3.6*1000000</f>
        <v>32.283455241257919</v>
      </c>
      <c r="O8" s="34"/>
      <c r="P8" s="34"/>
      <c r="R8" s="33"/>
    </row>
    <row r="9" spans="1:18">
      <c r="A9" s="33" t="s">
        <v>51</v>
      </c>
      <c r="B9" s="38">
        <f t="shared" si="0"/>
        <v>208.43203554147499</v>
      </c>
      <c r="C9" s="34"/>
      <c r="D9" s="38">
        <f>IF(ISERROR(TER_gezond_gas_kWh/1000),0,TER_gezond_gas_kWh/1000)*0.902</f>
        <v>818.37128858214624</v>
      </c>
      <c r="E9" s="34">
        <f>$C$29*'E Balans VL '!I10/100/3.6*1000000</f>
        <v>0.20655851750090021</v>
      </c>
      <c r="F9" s="34">
        <f>$C$29*('E Balans VL '!L10+'E Balans VL '!N10)/100/3.6*1000000</f>
        <v>72.319908509953578</v>
      </c>
      <c r="G9" s="35"/>
      <c r="H9" s="34"/>
      <c r="I9" s="34"/>
      <c r="J9" s="34">
        <f>$C$29*('E Balans VL '!D10+'E Balans VL '!E10)/100/3.6*1000000</f>
        <v>0</v>
      </c>
      <c r="K9" s="34"/>
      <c r="L9" s="34"/>
      <c r="M9" s="34"/>
      <c r="N9" s="34">
        <f>$C$29*'E Balans VL '!Y10/100/3.6*1000000</f>
        <v>1.7960407938802185</v>
      </c>
      <c r="O9" s="34"/>
      <c r="P9" s="34"/>
      <c r="R9" s="33"/>
    </row>
    <row r="10" spans="1:18">
      <c r="A10" s="33" t="s">
        <v>50</v>
      </c>
      <c r="B10" s="38">
        <f t="shared" si="0"/>
        <v>2605.9740679317497</v>
      </c>
      <c r="C10" s="34"/>
      <c r="D10" s="38">
        <f>IF(ISERROR(TER_ander_gas_kWh/1000),0,TER_ander_gas_kWh/1000)*0.902</f>
        <v>764.61672061840943</v>
      </c>
      <c r="E10" s="34">
        <f>$C$30*'E Balans VL '!I14/100/3.6*1000000</f>
        <v>21.31947236127678</v>
      </c>
      <c r="F10" s="34">
        <f>$C$30*('E Balans VL '!L14+'E Balans VL '!N14)/100/3.6*1000000</f>
        <v>761.88072386491274</v>
      </c>
      <c r="G10" s="35"/>
      <c r="H10" s="34"/>
      <c r="I10" s="34"/>
      <c r="J10" s="34">
        <f>$C$30*('E Balans VL '!D14+'E Balans VL '!E14)/100/3.6*1000000</f>
        <v>0</v>
      </c>
      <c r="K10" s="34"/>
      <c r="L10" s="34"/>
      <c r="M10" s="34"/>
      <c r="N10" s="34">
        <f>$C$30*'E Balans VL '!Y14/100/3.6*1000000</f>
        <v>1503.3051045074999</v>
      </c>
      <c r="O10" s="34"/>
      <c r="P10" s="34"/>
      <c r="R10" s="33"/>
    </row>
    <row r="11" spans="1:18">
      <c r="A11" s="33" t="s">
        <v>55</v>
      </c>
      <c r="B11" s="38">
        <f t="shared" si="0"/>
        <v>719.46943000485703</v>
      </c>
      <c r="C11" s="34"/>
      <c r="D11" s="38">
        <f>IF(ISERROR(TER_onderwijs_gas_kWh/1000),0,TER_onderwijs_gas_kWh/1000)*0.902</f>
        <v>2316.9890256271351</v>
      </c>
      <c r="E11" s="34">
        <f>$C$31*'E Balans VL '!I11/100/3.6*1000000</f>
        <v>0.44345059922580116</v>
      </c>
      <c r="F11" s="34">
        <f>$C$31*('E Balans VL '!L11+'E Balans VL '!N11)/100/3.6*1000000</f>
        <v>278.15853320937873</v>
      </c>
      <c r="G11" s="35"/>
      <c r="H11" s="34"/>
      <c r="I11" s="34"/>
      <c r="J11" s="34">
        <f>$C$31*('E Balans VL '!D11+'E Balans VL '!E11)/100/3.6*1000000</f>
        <v>0</v>
      </c>
      <c r="K11" s="34"/>
      <c r="L11" s="34"/>
      <c r="M11" s="34"/>
      <c r="N11" s="34">
        <f>$C$31*'E Balans VL '!Y11/100/3.6*1000000</f>
        <v>2.3402798767988942</v>
      </c>
      <c r="O11" s="34"/>
      <c r="P11" s="34"/>
      <c r="R11" s="33"/>
    </row>
    <row r="12" spans="1:18">
      <c r="A12" s="33" t="s">
        <v>260</v>
      </c>
      <c r="B12" s="38">
        <f t="shared" si="0"/>
        <v>2373.7523221456499</v>
      </c>
      <c r="C12" s="34"/>
      <c r="D12" s="38">
        <f>IF(ISERROR(TER_rest_gas_kWh/1000),0,TER_rest_gas_kWh/1000)*0.902</f>
        <v>5152.9703795679116</v>
      </c>
      <c r="E12" s="34">
        <f>$C$32*'E Balans VL '!I8/100/3.6*1000000</f>
        <v>20.510028781006984</v>
      </c>
      <c r="F12" s="34">
        <f>$C$32*('E Balans VL '!L8+'E Balans VL '!N8)/100/3.6*1000000</f>
        <v>472.82147158955661</v>
      </c>
      <c r="G12" s="35"/>
      <c r="H12" s="34"/>
      <c r="I12" s="34"/>
      <c r="J12" s="34">
        <f>$C$32*('E Balans VL '!D8+'E Balans VL '!E8)/100/3.6*1000000</f>
        <v>0</v>
      </c>
      <c r="K12" s="34"/>
      <c r="L12" s="34"/>
      <c r="M12" s="34"/>
      <c r="N12" s="34">
        <f>$C$32*'E Balans VL '!Y8/100/3.6*1000000</f>
        <v>156.12856430593183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19239.514443003831</v>
      </c>
      <c r="C16" s="22">
        <f t="shared" ca="1" si="1"/>
        <v>0</v>
      </c>
      <c r="D16" s="22">
        <f t="shared" ca="1" si="1"/>
        <v>27832.571358194531</v>
      </c>
      <c r="E16" s="22">
        <f t="shared" si="1"/>
        <v>182.4469101734681</v>
      </c>
      <c r="F16" s="22">
        <f t="shared" ca="1" si="1"/>
        <v>3921.279672375284</v>
      </c>
      <c r="G16" s="22">
        <f t="shared" si="1"/>
        <v>0</v>
      </c>
      <c r="H16" s="22">
        <f t="shared" si="1"/>
        <v>0</v>
      </c>
      <c r="I16" s="22">
        <f t="shared" si="1"/>
        <v>0</v>
      </c>
      <c r="J16" s="22">
        <f t="shared" si="1"/>
        <v>0</v>
      </c>
      <c r="K16" s="22">
        <f t="shared" si="1"/>
        <v>0</v>
      </c>
      <c r="L16" s="22">
        <f t="shared" ca="1" si="1"/>
        <v>0</v>
      </c>
      <c r="M16" s="22">
        <f t="shared" si="1"/>
        <v>0</v>
      </c>
      <c r="N16" s="22">
        <f t="shared" ca="1" si="1"/>
        <v>1697.055335481552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0.18186113337331863</v>
      </c>
      <c r="C18" s="26">
        <f ca="1">'EF ele_warmte'!B22</f>
        <v>0.23650649623672629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3498.9199021570098</v>
      </c>
      <c r="C20" s="24">
        <f t="shared" ref="C20:P20" ca="1" si="2">C16*C18</f>
        <v>0</v>
      </c>
      <c r="D20" s="24">
        <f t="shared" ca="1" si="2"/>
        <v>5622.1794143552952</v>
      </c>
      <c r="E20" s="24">
        <f t="shared" si="2"/>
        <v>41.415448609377258</v>
      </c>
      <c r="F20" s="24">
        <f t="shared" ca="1" si="2"/>
        <v>1046.9816725242008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4973.2417883838798</v>
      </c>
      <c r="C26" s="40">
        <f>IF(ISERROR(B26*3.6/1000000/'E Balans VL '!Z12*100),0,B26*3.6/1000000/'E Balans VL '!Z12*100)</f>
        <v>0.10567782153708319</v>
      </c>
      <c r="D26" s="240" t="s">
        <v>707</v>
      </c>
      <c r="F26" s="6"/>
    </row>
    <row r="27" spans="1:18">
      <c r="A27" s="234" t="s">
        <v>53</v>
      </c>
      <c r="B27" s="34">
        <f>IF(ISERROR(TER_horeca_ele_kWh/1000),0,TER_horeca_ele_kWh/1000)</f>
        <v>1866.2088853759201</v>
      </c>
      <c r="C27" s="40">
        <f>IF(ISERROR(B27*3.6/1000000/'E Balans VL '!Z9*100),0,B27*3.6/1000000/'E Balans VL '!Z9*100)</f>
        <v>0.14688507060981176</v>
      </c>
      <c r="D27" s="240" t="s">
        <v>707</v>
      </c>
      <c r="F27" s="6"/>
    </row>
    <row r="28" spans="1:18">
      <c r="A28" s="174" t="s">
        <v>52</v>
      </c>
      <c r="B28" s="34">
        <f>IF(ISERROR(TER_handel_ele_kWh/1000),0,TER_handel_ele_kWh/1000)</f>
        <v>6492.4359136202993</v>
      </c>
      <c r="C28" s="40">
        <f>IF(ISERROR(B28*3.6/1000000/'E Balans VL '!Z13*100),0,B28*3.6/1000000/'E Balans VL '!Z13*100)</f>
        <v>0.18185660455502878</v>
      </c>
      <c r="D28" s="240" t="s">
        <v>707</v>
      </c>
      <c r="F28" s="6"/>
    </row>
    <row r="29" spans="1:18">
      <c r="A29" s="234" t="s">
        <v>51</v>
      </c>
      <c r="B29" s="34">
        <f>IF(ISERROR(TER_gezond_ele_kWh/1000),0,TER_gezond_ele_kWh/1000)</f>
        <v>208.43203554147499</v>
      </c>
      <c r="C29" s="40">
        <f>IF(ISERROR(B29*3.6/1000000/'E Balans VL '!Z10*100),0,B29*3.6/1000000/'E Balans VL '!Z10*100)</f>
        <v>2.666476007667077E-2</v>
      </c>
      <c r="D29" s="240" t="s">
        <v>707</v>
      </c>
      <c r="F29" s="6"/>
    </row>
    <row r="30" spans="1:18">
      <c r="A30" s="234" t="s">
        <v>50</v>
      </c>
      <c r="B30" s="34">
        <f>IF(ISERROR(TER_ander_ele_kWh/1000),0,TER_ander_ele_kWh/1000)</f>
        <v>2605.9740679317497</v>
      </c>
      <c r="C30" s="40">
        <f>IF(ISERROR(B30*3.6/1000000/'E Balans VL '!Z14*100),0,B30*3.6/1000000/'E Balans VL '!Z14*100)</f>
        <v>0.19490490196021076</v>
      </c>
      <c r="D30" s="240" t="s">
        <v>707</v>
      </c>
      <c r="F30" s="6"/>
    </row>
    <row r="31" spans="1:18">
      <c r="A31" s="234" t="s">
        <v>55</v>
      </c>
      <c r="B31" s="34">
        <f>IF(ISERROR(TER_onderwijs_ele_kWh/1000),0,TER_onderwijs_ele_kWh/1000)</f>
        <v>719.46943000485703</v>
      </c>
      <c r="C31" s="40">
        <f>IF(ISERROR(B31*3.6/1000000/'E Balans VL '!Z11*100),0,B31*3.6/1000000/'E Balans VL '!Z11*100)</f>
        <v>0.15191690209665004</v>
      </c>
      <c r="D31" s="240" t="s">
        <v>707</v>
      </c>
    </row>
    <row r="32" spans="1:18">
      <c r="A32" s="234" t="s">
        <v>260</v>
      </c>
      <c r="B32" s="34">
        <f>IF(ISERROR(TER_rest_ele_kWh/1000),0,TER_rest_ele_kWh/1000)</f>
        <v>2373.7523221456499</v>
      </c>
      <c r="C32" s="40">
        <f>IF(ISERROR(B32*3.6/1000000/'E Balans VL '!Z8*100),0,B32*3.6/1000000/'E Balans VL '!Z8*100)</f>
        <v>1.9554810370015514E-2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15620.15800954845</v>
      </c>
      <c r="C5" s="18">
        <f>IF(ISERROR('Eigen informatie GS &amp; warmtenet'!B59),0,'Eigen informatie GS &amp; warmtenet'!B59)</f>
        <v>0</v>
      </c>
      <c r="D5" s="31">
        <f>SUM(D6:D15)</f>
        <v>15228.968458482843</v>
      </c>
      <c r="E5" s="18">
        <f>SUM(E6:E15)</f>
        <v>145.3511424716967</v>
      </c>
      <c r="F5" s="18">
        <f>SUM(F6:F15)</f>
        <v>3293.4841830401683</v>
      </c>
      <c r="G5" s="19"/>
      <c r="H5" s="18"/>
      <c r="I5" s="18"/>
      <c r="J5" s="18">
        <f>SUM(J6:J15)</f>
        <v>40.409339110999781</v>
      </c>
      <c r="K5" s="18"/>
      <c r="L5" s="18"/>
      <c r="M5" s="18"/>
      <c r="N5" s="18">
        <f>SUM(N6:N15)</f>
        <v>446.72996390860101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885.77865037067397</v>
      </c>
      <c r="C8" s="34"/>
      <c r="D8" s="38">
        <f>IF( ISERROR(IND_metaal_Gas_kWH/1000),0,IND_metaal_Gas_kWH/1000)*0.902</f>
        <v>248.3460472232162</v>
      </c>
      <c r="E8" s="34">
        <f>C30*'E Balans VL '!I18/100/3.6*1000000</f>
        <v>8.0666265406696365</v>
      </c>
      <c r="F8" s="34">
        <f>C30*'E Balans VL '!L18/100/3.6*1000000+C30*'E Balans VL '!N18/100/3.6*1000000</f>
        <v>116.82747726528595</v>
      </c>
      <c r="G8" s="35"/>
      <c r="H8" s="34"/>
      <c r="I8" s="34"/>
      <c r="J8" s="41">
        <f>C30*'E Balans VL '!D18/100/3.6*1000000+C30*'E Balans VL '!E18/100/3.6*1000000</f>
        <v>14.525483761789944</v>
      </c>
      <c r="K8" s="34"/>
      <c r="L8" s="34"/>
      <c r="M8" s="34"/>
      <c r="N8" s="34">
        <f>C30*'E Balans VL '!Y18/100/3.6*1000000</f>
        <v>3.0440693466577735</v>
      </c>
      <c r="O8" s="34"/>
      <c r="P8" s="34"/>
      <c r="R8" s="33"/>
    </row>
    <row r="9" spans="1:18">
      <c r="A9" s="6" t="s">
        <v>33</v>
      </c>
      <c r="B9" s="38">
        <f t="shared" si="0"/>
        <v>1598.6104340484201</v>
      </c>
      <c r="C9" s="34"/>
      <c r="D9" s="38">
        <f>IF( ISERROR(IND_andere_gas_kWh/1000),0,IND_andere_gas_kWh/1000)*0.902</f>
        <v>1797.6690922710568</v>
      </c>
      <c r="E9" s="34">
        <f>C31*'E Balans VL '!I19/100/3.6*1000000</f>
        <v>9.2402072013697207</v>
      </c>
      <c r="F9" s="34">
        <f>C31*'E Balans VL '!L19/100/3.6*1000000+C31*'E Balans VL '!N19/100/3.6*1000000</f>
        <v>1271.7715223756857</v>
      </c>
      <c r="G9" s="35"/>
      <c r="H9" s="34"/>
      <c r="I9" s="34"/>
      <c r="J9" s="41">
        <f>C31*'E Balans VL '!D19/100/3.6*1000000+C31*'E Balans VL '!E19/100/3.6*1000000</f>
        <v>0.15121079019922093</v>
      </c>
      <c r="K9" s="34"/>
      <c r="L9" s="34"/>
      <c r="M9" s="34"/>
      <c r="N9" s="34">
        <f>C31*'E Balans VL '!Y19/100/3.6*1000000</f>
        <v>121.11893264204012</v>
      </c>
      <c r="O9" s="34"/>
      <c r="P9" s="34"/>
      <c r="R9" s="33"/>
    </row>
    <row r="10" spans="1:18">
      <c r="A10" s="6" t="s">
        <v>41</v>
      </c>
      <c r="B10" s="38">
        <f t="shared" si="0"/>
        <v>7892.22281707614</v>
      </c>
      <c r="C10" s="34"/>
      <c r="D10" s="38">
        <f>IF( ISERROR(IND_voed_gas_kWh/1000),0,IND_voed_gas_kWh/1000)*0.902</f>
        <v>1968.3735926638776</v>
      </c>
      <c r="E10" s="34">
        <f>C32*'E Balans VL '!I20/100/3.6*1000000</f>
        <v>77.60119754095733</v>
      </c>
      <c r="F10" s="34">
        <f>C32*'E Balans VL '!L20/100/3.6*1000000+C32*'E Balans VL '!N20/100/3.6*1000000</f>
        <v>876.53435821419589</v>
      </c>
      <c r="G10" s="35"/>
      <c r="H10" s="34"/>
      <c r="I10" s="34"/>
      <c r="J10" s="41">
        <f>C32*'E Balans VL '!D20/100/3.6*1000000+C32*'E Balans VL '!E20/100/3.6*1000000</f>
        <v>3.1106832975667468E-2</v>
      </c>
      <c r="K10" s="34"/>
      <c r="L10" s="34"/>
      <c r="M10" s="34"/>
      <c r="N10" s="34">
        <f>C32*'E Balans VL '!Y20/100/3.6*1000000</f>
        <v>116.86525545599385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132.64708785586399</v>
      </c>
      <c r="C13" s="34"/>
      <c r="D13" s="38">
        <f>IF( ISERROR(IND_papier_gas_kWh/1000),0,IND_papier_gas_kWh/1000)*0.902</f>
        <v>102.93189897524094</v>
      </c>
      <c r="E13" s="34">
        <f>C35*'E Balans VL '!I23/100/3.6*1000000</f>
        <v>4.5181521382137717</v>
      </c>
      <c r="F13" s="34">
        <f>C35*'E Balans VL '!L23/100/3.6*1000000+C35*'E Balans VL '!N23/100/3.6*1000000</f>
        <v>21.910185753649298</v>
      </c>
      <c r="G13" s="35"/>
      <c r="H13" s="34"/>
      <c r="I13" s="34"/>
      <c r="J13" s="41">
        <f>C35*'E Balans VL '!D23/100/3.6*1000000+C35*'E Balans VL '!E23/100/3.6*1000000</f>
        <v>0</v>
      </c>
      <c r="K13" s="34"/>
      <c r="L13" s="34"/>
      <c r="M13" s="34"/>
      <c r="N13" s="34">
        <f>C35*'E Balans VL '!Y23/100/3.6*1000000</f>
        <v>48.810571011825225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5110.8990201973493</v>
      </c>
      <c r="C15" s="34"/>
      <c r="D15" s="38">
        <f>IF( ISERROR(IND_rest_gas_kWh/1000),0,IND_rest_gas_kWh/1000)*0.902</f>
        <v>11111.647827349452</v>
      </c>
      <c r="E15" s="34">
        <f>C37*'E Balans VL '!I15/100/3.6*1000000</f>
        <v>45.924959050486251</v>
      </c>
      <c r="F15" s="34">
        <f>C37*'E Balans VL '!L15/100/3.6*1000000+C37*'E Balans VL '!N15/100/3.6*1000000</f>
        <v>1006.4406394313517</v>
      </c>
      <c r="G15" s="35"/>
      <c r="H15" s="34"/>
      <c r="I15" s="34"/>
      <c r="J15" s="41">
        <f>C37*'E Balans VL '!D15/100/3.6*1000000+C37*'E Balans VL '!E15/100/3.6*1000000</f>
        <v>25.70153772603495</v>
      </c>
      <c r="K15" s="34"/>
      <c r="L15" s="34"/>
      <c r="M15" s="34"/>
      <c r="N15" s="34">
        <f>C37*'E Balans VL '!Y15/100/3.6*1000000</f>
        <v>156.89113545208406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15620.15800954845</v>
      </c>
      <c r="C18" s="22">
        <f>C5+C16</f>
        <v>0</v>
      </c>
      <c r="D18" s="22">
        <f>MAX((D5+D16),0)</f>
        <v>15228.968458482843</v>
      </c>
      <c r="E18" s="22">
        <f>MAX((E5+E16),0)</f>
        <v>145.3511424716967</v>
      </c>
      <c r="F18" s="22">
        <f>MAX((F5+F16),0)</f>
        <v>3293.4841830401683</v>
      </c>
      <c r="G18" s="22"/>
      <c r="H18" s="22"/>
      <c r="I18" s="22"/>
      <c r="J18" s="22">
        <f>MAX((J5+J16),0)</f>
        <v>40.409339110999781</v>
      </c>
      <c r="K18" s="22"/>
      <c r="L18" s="22">
        <f>MAX((L5+L16),0)</f>
        <v>0</v>
      </c>
      <c r="M18" s="22"/>
      <c r="N18" s="22">
        <f>MAX((N5+N16),0)</f>
        <v>446.72996390860101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0.18186113337331863</v>
      </c>
      <c r="C20" s="26">
        <f ca="1">'EF ele_warmte'!B22</f>
        <v>0.23650649623672629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2840.6996390868021</v>
      </c>
      <c r="C22" s="24">
        <f ca="1">C18*C20</f>
        <v>0</v>
      </c>
      <c r="D22" s="24">
        <f>D18*D20</f>
        <v>3076.2516286135346</v>
      </c>
      <c r="E22" s="24">
        <f>E18*E20</f>
        <v>32.994709341075151</v>
      </c>
      <c r="F22" s="24">
        <f>F18*F20</f>
        <v>879.36027687172498</v>
      </c>
      <c r="G22" s="24"/>
      <c r="H22" s="24"/>
      <c r="I22" s="24"/>
      <c r="J22" s="24">
        <f>J18*J20</f>
        <v>14.304906045293922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885.77865037067397</v>
      </c>
      <c r="C30" s="40">
        <f>IF(ISERROR(B30*3.6/1000000/'E Balans VL '!Z18*100),0,B30*3.6/1000000/'E Balans VL '!Z18*100)</f>
        <v>4.9287658742112071E-2</v>
      </c>
      <c r="D30" s="240" t="s">
        <v>707</v>
      </c>
    </row>
    <row r="31" spans="1:18">
      <c r="A31" s="6" t="s">
        <v>33</v>
      </c>
      <c r="B31" s="38">
        <f>IF( ISERROR(IND_ander_ele_kWh/1000),0,IND_ander_ele_kWh/1000)</f>
        <v>1598.6104340484201</v>
      </c>
      <c r="C31" s="40">
        <f>IF(ISERROR(B31*3.6/1000000/'E Balans VL '!Z19*100),0,B31*3.6/1000000/'E Balans VL '!Z19*100)</f>
        <v>7.431520064398571E-2</v>
      </c>
      <c r="D31" s="240" t="s">
        <v>707</v>
      </c>
    </row>
    <row r="32" spans="1:18">
      <c r="A32" s="174" t="s">
        <v>41</v>
      </c>
      <c r="B32" s="38">
        <f>IF( ISERROR(IND_voed_ele_kWh/1000),0,IND_voed_ele_kWh/1000)</f>
        <v>7892.22281707614</v>
      </c>
      <c r="C32" s="40">
        <f>IF(ISERROR(B32*3.6/1000000/'E Balans VL '!Z20*100),0,B32*3.6/1000000/'E Balans VL '!Z20*100)</f>
        <v>0.27897413756463807</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132.64708785586399</v>
      </c>
      <c r="C35" s="40">
        <f>IF(ISERROR(B35*3.6/1000000/'E Balans VL '!Z22*100),0,B35*3.6/1000000/'E Balans VL '!Z22*100)</f>
        <v>2.6658324137521283E-2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5110.8990201973493</v>
      </c>
      <c r="C37" s="40">
        <f>IF(ISERROR(B37*3.6/1000000/'E Balans VL '!Z15*100),0,B37*3.6/1000000/'E Balans VL '!Z15*100)</f>
        <v>3.8594837542006676E-2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3260.7778503013601</v>
      </c>
      <c r="C5" s="18">
        <f>'Eigen informatie GS &amp; warmtenet'!B60</f>
        <v>0</v>
      </c>
      <c r="D5" s="31">
        <f>IF(ISERROR(SUM(LB_lb_gas_kWh,LB_rest_gas_kWh,onbekend_gas_kWh)/1000),0,SUM(LB_lb_gas_kWh,LB_rest_gas_kWh,onbekend_gas_kWh)/1000)*0.902</f>
        <v>38952.269788717662</v>
      </c>
      <c r="E5" s="18">
        <f>B17*'E Balans VL '!I25/3.6*1000000/100</f>
        <v>30.718712142666487</v>
      </c>
      <c r="F5" s="18">
        <f>B17*('E Balans VL '!L25/3.6*1000000+'E Balans VL '!N25/3.6*1000000)/100</f>
        <v>10641.000282663284</v>
      </c>
      <c r="G5" s="19"/>
      <c r="H5" s="18"/>
      <c r="I5" s="18"/>
      <c r="J5" s="18">
        <f>('E Balans VL '!D25+'E Balans VL '!E25)/3.6*1000000*landbouw!B17/100</f>
        <v>403.37408050269551</v>
      </c>
      <c r="K5" s="18"/>
      <c r="L5" s="18">
        <f>L6*(-1)</f>
        <v>0</v>
      </c>
      <c r="M5" s="18"/>
      <c r="N5" s="18">
        <f>N6*(-1)</f>
        <v>124.71428571428569</v>
      </c>
      <c r="O5" s="18"/>
      <c r="P5" s="18"/>
      <c r="R5" s="33"/>
    </row>
    <row r="6" spans="1:18">
      <c r="A6" s="17" t="s">
        <v>502</v>
      </c>
      <c r="B6" s="18" t="s">
        <v>211</v>
      </c>
      <c r="C6" s="18">
        <f>'lokale energieproductie'!O91+'lokale energieproductie'!O60</f>
        <v>13011.749999999998</v>
      </c>
      <c r="D6" s="312">
        <f>('lokale energieproductie'!P60+'lokale energieproductie'!P91)*(-1)</f>
        <v>-25897.28571428571</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-124.71428571428569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3260.7778503013601</v>
      </c>
      <c r="C8" s="22">
        <f>C5+C6</f>
        <v>13011.749999999998</v>
      </c>
      <c r="D8" s="22">
        <f>MAX((D5+D6),0)</f>
        <v>13054.984074431952</v>
      </c>
      <c r="E8" s="22">
        <f>MAX((E5+E6),0)</f>
        <v>30.718712142666487</v>
      </c>
      <c r="F8" s="22">
        <f>MAX((F5+F6),0)</f>
        <v>10641.000282663284</v>
      </c>
      <c r="G8" s="22"/>
      <c r="H8" s="22"/>
      <c r="I8" s="22"/>
      <c r="J8" s="22">
        <f>MAX((J5+J6),0)</f>
        <v>403.37408050269551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0.18186113337331863</v>
      </c>
      <c r="C10" s="32">
        <f ca="1">'EF ele_warmte'!B22</f>
        <v>0.23650649623672629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593.00875553441892</v>
      </c>
      <c r="C12" s="24">
        <f ca="1">C8*C10</f>
        <v>3077.363402408223</v>
      </c>
      <c r="D12" s="24">
        <f>D8*D10</f>
        <v>2637.1067830352545</v>
      </c>
      <c r="E12" s="24">
        <f>E8*E10</f>
        <v>6.9731476563852928</v>
      </c>
      <c r="F12" s="24">
        <f>F8*F10</f>
        <v>2841.1470754710972</v>
      </c>
      <c r="G12" s="24"/>
      <c r="H12" s="24"/>
      <c r="I12" s="24"/>
      <c r="J12" s="24">
        <f>J8*J10</f>
        <v>142.7944244979542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0.44145721536641336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704.3713872677896</v>
      </c>
      <c r="C26" s="250">
        <f>B26*'GWP N2O_CH4'!B5</f>
        <v>14791.799132623582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284.09058524229607</v>
      </c>
      <c r="C27" s="250">
        <f>B27*'GWP N2O_CH4'!B5</f>
        <v>5965.9022900882173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8.6058249161639377</v>
      </c>
      <c r="C28" s="250">
        <f>B28*'GWP N2O_CH4'!B4</f>
        <v>2667.8057240108205</v>
      </c>
      <c r="D28" s="51"/>
    </row>
    <row r="29" spans="1:4">
      <c r="A29" s="42" t="s">
        <v>277</v>
      </c>
      <c r="B29" s="250">
        <f>B34*'ha_N2O bodem landbouw'!B4</f>
        <v>16.297903143985078</v>
      </c>
      <c r="C29" s="250">
        <f>B29*'GWP N2O_CH4'!B4</f>
        <v>5052.3499746353746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4.3999207865360931E-3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6.8934310670830135E-6</v>
      </c>
      <c r="C5" s="447" t="s">
        <v>211</v>
      </c>
      <c r="D5" s="432">
        <f>SUM(D6:D11)</f>
        <v>1.9264127854122496E-5</v>
      </c>
      <c r="E5" s="432">
        <f>SUM(E6:E11)</f>
        <v>1.1149964374643155E-3</v>
      </c>
      <c r="F5" s="445" t="s">
        <v>211</v>
      </c>
      <c r="G5" s="432">
        <f>SUM(G6:G11)</f>
        <v>0.21186899065855247</v>
      </c>
      <c r="H5" s="432">
        <f>SUM(H6:H11)</f>
        <v>4.2758789441052533E-2</v>
      </c>
      <c r="I5" s="447" t="s">
        <v>211</v>
      </c>
      <c r="J5" s="447" t="s">
        <v>211</v>
      </c>
      <c r="K5" s="447" t="s">
        <v>211</v>
      </c>
      <c r="L5" s="447" t="s">
        <v>211</v>
      </c>
      <c r="M5" s="432">
        <f>SUM(M6:M11)</f>
        <v>1.1390493498347705E-2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5.6403200176975521E-6</v>
      </c>
      <c r="C6" s="433"/>
      <c r="D6" s="433">
        <f>vkm_2011_GW_PW*SUMIFS(TableVerdeelsleutelVkm[CNG],TableVerdeelsleutelVkm[Voertuigtype],"Lichte voertuigen")*SUMIFS(TableECFTransport[EnergieConsumptieFactor (PJ per km)],TableECFTransport[Index],CONCATENATE($A6,"_CNG_CNG"))</f>
        <v>1.3773755942257159E-5</v>
      </c>
      <c r="E6" s="435">
        <f>vkm_2011_GW_PW*SUMIFS(TableVerdeelsleutelVkm[LPG],TableVerdeelsleutelVkm[Voertuigtype],"Lichte voertuigen")*SUMIFS(TableECFTransport[EnergieConsumptieFactor (PJ per km)],TableECFTransport[Index],CONCATENATE($A6,"_LPG_LPG"))</f>
        <v>8.164370714005421E-4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0.11802558280915969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3.0931114442097913E-2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6.6705552234944884E-3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4.5076349955215353E-2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1.8186549827759644E-5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2.0081374439798209E-3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1.2531110493854615E-6</v>
      </c>
      <c r="C8" s="433"/>
      <c r="D8" s="435">
        <f>vkm_2011_NGW_PW*SUMIFS(TableVerdeelsleutelVkm[CNG],TableVerdeelsleutelVkm[Voertuigtype],"Lichte voertuigen")*SUMIFS(TableECFTransport[EnergieConsumptieFactor (PJ per km)],TableECFTransport[Index],CONCATENATE($A8,"_CNG_CNG"))</f>
        <v>5.4903719118653384E-6</v>
      </c>
      <c r="E8" s="435">
        <f>vkm_2011_NGW_PW*SUMIFS(TableVerdeelsleutelVkm[LPG],TableVerdeelsleutelVkm[Voertuigtype],"Lichte voertuigen")*SUMIFS(TableECFTransport[EnergieConsumptieFactor (PJ per km)],TableECFTransport[Index],CONCATENATE($A8,"_LPG_LPG"))</f>
        <v>2.9855936606377331E-4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4.0772856402318737E-2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1.1806680152270517E-2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2.3556807029503773E-3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7.9942014918586921E-3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2.8082968563484273E-6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3.5612012792301791E-4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1.9148419630786149</v>
      </c>
      <c r="C14" s="22"/>
      <c r="D14" s="22">
        <f t="shared" ref="D14:M14" si="0">((D5)*10^9/3600)+D12</f>
        <v>5.3511466261451375</v>
      </c>
      <c r="E14" s="22">
        <f t="shared" si="0"/>
        <v>309.72123262897651</v>
      </c>
      <c r="F14" s="22"/>
      <c r="G14" s="22">
        <f t="shared" si="0"/>
        <v>58852.497405153466</v>
      </c>
      <c r="H14" s="22">
        <f t="shared" si="0"/>
        <v>11877.441511403482</v>
      </c>
      <c r="I14" s="22"/>
      <c r="J14" s="22"/>
      <c r="K14" s="22"/>
      <c r="L14" s="22"/>
      <c r="M14" s="22">
        <f t="shared" si="0"/>
        <v>3164.0259717632516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0.18186113337331863</v>
      </c>
      <c r="C16" s="57">
        <f ca="1">'EF ele_warmte'!B22</f>
        <v>0.23650649623672629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0.34823532963626724</v>
      </c>
      <c r="C18" s="24"/>
      <c r="D18" s="24">
        <f t="shared" ref="D18:M18" si="1">D14*D16</f>
        <v>1.0809316184813178</v>
      </c>
      <c r="E18" s="24">
        <f t="shared" si="1"/>
        <v>70.306719806777664</v>
      </c>
      <c r="F18" s="24"/>
      <c r="G18" s="24">
        <f t="shared" si="1"/>
        <v>15713.616807175977</v>
      </c>
      <c r="H18" s="24">
        <f t="shared" si="1"/>
        <v>2957.482936339467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3.6212619377903764E-3</v>
      </c>
      <c r="H50" s="323">
        <f t="shared" si="2"/>
        <v>0</v>
      </c>
      <c r="I50" s="323">
        <f t="shared" si="2"/>
        <v>0</v>
      </c>
      <c r="J50" s="323">
        <f t="shared" si="2"/>
        <v>0</v>
      </c>
      <c r="K50" s="323">
        <f t="shared" si="2"/>
        <v>0</v>
      </c>
      <c r="L50" s="323">
        <f t="shared" si="2"/>
        <v>0</v>
      </c>
      <c r="M50" s="323">
        <f t="shared" si="2"/>
        <v>1.5901558533359985E-4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3.6212619377903764E-3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1.5901558533359985E-4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1005.90609383066</v>
      </c>
      <c r="H54" s="22">
        <f t="shared" si="3"/>
        <v>0</v>
      </c>
      <c r="I54" s="22">
        <f t="shared" si="3"/>
        <v>0</v>
      </c>
      <c r="J54" s="22">
        <f t="shared" si="3"/>
        <v>0</v>
      </c>
      <c r="K54" s="22">
        <f t="shared" si="3"/>
        <v>0</v>
      </c>
      <c r="L54" s="22">
        <f t="shared" si="3"/>
        <v>0</v>
      </c>
      <c r="M54" s="22">
        <f t="shared" si="3"/>
        <v>44.170995925999961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0.18186113337331863</v>
      </c>
      <c r="C56" s="57">
        <f ca="1">'EF ele_warmte'!B22</f>
        <v>0.23650649623672629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268.57692705278623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10181.125773829213</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3948.3799826940353</v>
      </c>
      <c r="C6" s="1135"/>
      <c r="D6" s="1138"/>
      <c r="E6" s="1138"/>
      <c r="F6" s="1141"/>
      <c r="G6" s="1144"/>
      <c r="H6" s="1132"/>
      <c r="I6" s="1138"/>
      <c r="J6" s="1138"/>
      <c r="K6" s="1138"/>
      <c r="L6" s="1168"/>
      <c r="M6" s="560"/>
      <c r="N6" s="1180"/>
      <c r="O6" s="1181"/>
      <c r="Q6" s="558"/>
      <c r="R6" s="1165"/>
      <c r="S6" s="1165"/>
    </row>
    <row r="7" spans="1:19" s="548" customFormat="1">
      <c r="A7" s="561" t="s">
        <v>252</v>
      </c>
      <c r="B7" s="562">
        <f>N57</f>
        <v>9107.0999999999985</v>
      </c>
      <c r="C7" s="563">
        <f>B100</f>
        <v>10662.813425136088</v>
      </c>
      <c r="D7" s="564"/>
      <c r="E7" s="564">
        <f>E100</f>
        <v>0</v>
      </c>
      <c r="F7" s="565"/>
      <c r="G7" s="566"/>
      <c r="H7" s="564">
        <f>I100</f>
        <v>0</v>
      </c>
      <c r="I7" s="564">
        <f>G100+F100</f>
        <v>0</v>
      </c>
      <c r="J7" s="564">
        <f>H100+D100+C100</f>
        <v>51.349209901444752</v>
      </c>
      <c r="K7" s="564"/>
      <c r="L7" s="567"/>
      <c r="M7" s="568">
        <f>C7*$C$11+D7*$D$11+E7*$E$11+F7*$F$11+G7*$G$11+H7*$H$11+I7*$I$11+J7*$J$11</f>
        <v>2153.8883118774897</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23236.605756523248</v>
      </c>
      <c r="C9" s="579">
        <f t="shared" ref="C9:L9" si="0">SUM(C7:C8)</f>
        <v>10662.813425136088</v>
      </c>
      <c r="D9" s="579">
        <f t="shared" si="0"/>
        <v>0</v>
      </c>
      <c r="E9" s="579">
        <f t="shared" si="0"/>
        <v>0</v>
      </c>
      <c r="F9" s="579">
        <f t="shared" si="0"/>
        <v>0</v>
      </c>
      <c r="G9" s="579">
        <f t="shared" si="0"/>
        <v>0</v>
      </c>
      <c r="H9" s="579">
        <f t="shared" si="0"/>
        <v>0</v>
      </c>
      <c r="I9" s="579">
        <f t="shared" si="0"/>
        <v>0</v>
      </c>
      <c r="J9" s="579">
        <f t="shared" si="0"/>
        <v>51.349209901444752</v>
      </c>
      <c r="K9" s="579">
        <f t="shared" si="0"/>
        <v>0</v>
      </c>
      <c r="L9" s="579">
        <f t="shared" si="0"/>
        <v>0</v>
      </c>
      <c r="M9" s="580">
        <f>SUM(M4:M8)</f>
        <v>2153.8883118774897</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13011.749999999998</v>
      </c>
      <c r="C16" s="595">
        <f>B101</f>
        <v>15234.472289149619</v>
      </c>
      <c r="D16" s="596"/>
      <c r="E16" s="596">
        <f>E101</f>
        <v>0</v>
      </c>
      <c r="F16" s="597"/>
      <c r="G16" s="598"/>
      <c r="H16" s="595">
        <f>I101</f>
        <v>0</v>
      </c>
      <c r="I16" s="596">
        <f>G101+F101</f>
        <v>0</v>
      </c>
      <c r="J16" s="596">
        <f>H101+D101+C101</f>
        <v>73.365075812840928</v>
      </c>
      <c r="K16" s="596"/>
      <c r="L16" s="599"/>
      <c r="M16" s="600">
        <f>C16*$C$21+E16*$E$21+H16*$H$21+I16*$I$21+J16*$J$21+D16*$D$21+F16*$F$21+G16*$G$21+K16*$K$21+L16*$L$21</f>
        <v>3077.363402408223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13011.749999999998</v>
      </c>
      <c r="C19" s="578">
        <f>SUM(C16:C18)</f>
        <v>15234.472289149619</v>
      </c>
      <c r="D19" s="578">
        <f t="shared" ref="D19:M19" si="1">SUM(D16:D18)</f>
        <v>0</v>
      </c>
      <c r="E19" s="578">
        <f t="shared" si="1"/>
        <v>0</v>
      </c>
      <c r="F19" s="578">
        <f t="shared" si="1"/>
        <v>0</v>
      </c>
      <c r="G19" s="578">
        <f t="shared" si="1"/>
        <v>0</v>
      </c>
      <c r="H19" s="578">
        <f t="shared" si="1"/>
        <v>0</v>
      </c>
      <c r="I19" s="578">
        <f t="shared" si="1"/>
        <v>0</v>
      </c>
      <c r="J19" s="578">
        <f t="shared" si="1"/>
        <v>73.365075812840928</v>
      </c>
      <c r="K19" s="578">
        <f t="shared" si="1"/>
        <v>0</v>
      </c>
      <c r="L19" s="578">
        <f t="shared" si="1"/>
        <v>0</v>
      </c>
      <c r="M19" s="605">
        <f t="shared" si="1"/>
        <v>3077.363402408223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11022</v>
      </c>
      <c r="C27" s="840">
        <v>2920</v>
      </c>
      <c r="D27" s="657" t="s">
        <v>877</v>
      </c>
      <c r="E27" s="656" t="s">
        <v>878</v>
      </c>
      <c r="F27" s="656" t="s">
        <v>879</v>
      </c>
      <c r="G27" s="656" t="s">
        <v>880</v>
      </c>
      <c r="H27" s="656" t="s">
        <v>881</v>
      </c>
      <c r="I27" s="656" t="s">
        <v>878</v>
      </c>
      <c r="J27" s="839">
        <v>39002</v>
      </c>
      <c r="K27" s="839">
        <v>39007</v>
      </c>
      <c r="L27" s="656" t="s">
        <v>882</v>
      </c>
      <c r="M27" s="656">
        <v>2014</v>
      </c>
      <c r="N27" s="656">
        <v>9062.9999999999982</v>
      </c>
      <c r="O27" s="656">
        <v>12947.142857142855</v>
      </c>
      <c r="P27" s="656">
        <v>25894.28571428571</v>
      </c>
      <c r="Q27" s="656">
        <v>0</v>
      </c>
      <c r="R27" s="656">
        <v>0</v>
      </c>
      <c r="S27" s="656">
        <v>0</v>
      </c>
      <c r="T27" s="656">
        <v>0</v>
      </c>
      <c r="U27" s="656">
        <v>0</v>
      </c>
      <c r="V27" s="656">
        <v>0</v>
      </c>
      <c r="W27" s="656"/>
      <c r="X27" s="656">
        <v>10</v>
      </c>
      <c r="Y27" s="656" t="s">
        <v>112</v>
      </c>
      <c r="Z27" s="658" t="s">
        <v>112</v>
      </c>
    </row>
    <row r="28" spans="1:26" s="610" customFormat="1" ht="25.5">
      <c r="A28" s="609"/>
      <c r="B28" s="840">
        <v>11022</v>
      </c>
      <c r="C28" s="840">
        <v>2920</v>
      </c>
      <c r="D28" s="657" t="s">
        <v>883</v>
      </c>
      <c r="E28" s="656" t="s">
        <v>884</v>
      </c>
      <c r="F28" s="656" t="s">
        <v>885</v>
      </c>
      <c r="G28" s="656" t="s">
        <v>886</v>
      </c>
      <c r="H28" s="656" t="s">
        <v>886</v>
      </c>
      <c r="I28" s="656" t="s">
        <v>884</v>
      </c>
      <c r="J28" s="839">
        <v>40940</v>
      </c>
      <c r="K28" s="839">
        <v>41183</v>
      </c>
      <c r="L28" s="656" t="s">
        <v>882</v>
      </c>
      <c r="M28" s="656">
        <v>1</v>
      </c>
      <c r="N28" s="656">
        <v>0.45</v>
      </c>
      <c r="O28" s="656">
        <v>2.25</v>
      </c>
      <c r="P28" s="656">
        <v>3</v>
      </c>
      <c r="Q28" s="656">
        <v>0</v>
      </c>
      <c r="R28" s="656">
        <v>0</v>
      </c>
      <c r="S28" s="656">
        <v>0</v>
      </c>
      <c r="T28" s="656">
        <v>0</v>
      </c>
      <c r="U28" s="656">
        <v>0</v>
      </c>
      <c r="V28" s="656">
        <v>0</v>
      </c>
      <c r="W28" s="656"/>
      <c r="X28" s="656">
        <v>10</v>
      </c>
      <c r="Y28" s="656" t="s">
        <v>112</v>
      </c>
      <c r="Z28" s="658" t="s">
        <v>112</v>
      </c>
    </row>
    <row r="29" spans="1:26" s="610" customFormat="1" ht="25.5">
      <c r="A29" s="609"/>
      <c r="B29" s="840">
        <v>11022</v>
      </c>
      <c r="C29" s="840">
        <v>2920</v>
      </c>
      <c r="D29" s="657" t="s">
        <v>887</v>
      </c>
      <c r="E29" s="656" t="s">
        <v>888</v>
      </c>
      <c r="F29" s="656" t="s">
        <v>889</v>
      </c>
      <c r="G29" s="656" t="s">
        <v>880</v>
      </c>
      <c r="H29" s="656" t="s">
        <v>881</v>
      </c>
      <c r="I29" s="656" t="s">
        <v>890</v>
      </c>
      <c r="J29" s="839">
        <v>41141</v>
      </c>
      <c r="K29" s="839">
        <v>41275</v>
      </c>
      <c r="L29" s="656" t="s">
        <v>882</v>
      </c>
      <c r="M29" s="656">
        <v>9.6999999999999993</v>
      </c>
      <c r="N29" s="656">
        <v>43.649999999999991</v>
      </c>
      <c r="O29" s="656">
        <v>62.357142857142847</v>
      </c>
      <c r="P29" s="656">
        <v>0</v>
      </c>
      <c r="Q29" s="656">
        <v>124.71428571428569</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2024.7</v>
      </c>
      <c r="N57" s="614">
        <f>SUM(N27:N56)</f>
        <v>9107.0999999999985</v>
      </c>
      <c r="O57" s="614">
        <f t="shared" ref="O57:W57" si="2">SUM(O27:O56)</f>
        <v>13011.749999999998</v>
      </c>
      <c r="P57" s="614">
        <f t="shared" si="2"/>
        <v>25897.28571428571</v>
      </c>
      <c r="Q57" s="614">
        <f t="shared" si="2"/>
        <v>124.71428571428569</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2024.7</v>
      </c>
      <c r="N60" s="619">
        <f t="shared" ref="N60:W60" si="4">SUMIF($Z$27:$Z$56,"landbouw",N27:N56)</f>
        <v>9107.0999999999985</v>
      </c>
      <c r="O60" s="619">
        <f t="shared" si="4"/>
        <v>13011.749999999998</v>
      </c>
      <c r="P60" s="619">
        <f t="shared" si="4"/>
        <v>25897.28571428571</v>
      </c>
      <c r="Q60" s="619">
        <f t="shared" si="4"/>
        <v>124.71428571428569</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0.58826521270319199</v>
      </c>
      <c r="C97" s="639">
        <f>IF(ISERROR(N57/(O57+N57)),0,N57/(N57+O57))</f>
        <v>0.4117347872968079</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10662.813425136088</v>
      </c>
      <c r="C100" s="648">
        <f t="shared" si="9"/>
        <v>51.349209901444752</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15234.472289149619</v>
      </c>
      <c r="C101" s="651">
        <f t="shared" ref="C101:H101" si="10">$B$97*Q57</f>
        <v>73.365075812840928</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20326.592443003832</v>
      </c>
      <c r="D10" s="703">
        <f ca="1">tertiair!C16</f>
        <v>0</v>
      </c>
      <c r="E10" s="703">
        <f ca="1">tertiair!D16</f>
        <v>27832.571358194531</v>
      </c>
      <c r="F10" s="703">
        <f>tertiair!E16</f>
        <v>182.4469101734681</v>
      </c>
      <c r="G10" s="703">
        <f ca="1">tertiair!F16</f>
        <v>3921.279672375284</v>
      </c>
      <c r="H10" s="703">
        <f>tertiair!G16</f>
        <v>0</v>
      </c>
      <c r="I10" s="703">
        <f>tertiair!H16</f>
        <v>0</v>
      </c>
      <c r="J10" s="703">
        <f>tertiair!I16</f>
        <v>0</v>
      </c>
      <c r="K10" s="703">
        <f>tertiair!J16</f>
        <v>0</v>
      </c>
      <c r="L10" s="703">
        <f>tertiair!K16</f>
        <v>0</v>
      </c>
      <c r="M10" s="703">
        <f ca="1">tertiair!L16</f>
        <v>0</v>
      </c>
      <c r="N10" s="703">
        <f>tertiair!M16</f>
        <v>0</v>
      </c>
      <c r="O10" s="703">
        <f ca="1">tertiair!N16</f>
        <v>1697.055335481552</v>
      </c>
      <c r="P10" s="703">
        <f>tertiair!O16</f>
        <v>0</v>
      </c>
      <c r="Q10" s="704">
        <f>tertiair!P16</f>
        <v>0</v>
      </c>
      <c r="R10" s="706">
        <f ca="1">SUM(C10:Q10)</f>
        <v>53959.945719228657</v>
      </c>
      <c r="S10" s="68"/>
    </row>
    <row r="11" spans="1:19" s="458" customFormat="1">
      <c r="A11" s="859" t="s">
        <v>225</v>
      </c>
      <c r="B11" s="864"/>
      <c r="C11" s="703">
        <f>huishoudens!B8</f>
        <v>36965.515848035015</v>
      </c>
      <c r="D11" s="703">
        <f>huishoudens!C8</f>
        <v>0</v>
      </c>
      <c r="E11" s="703">
        <f>huishoudens!D8</f>
        <v>111018.96012999167</v>
      </c>
      <c r="F11" s="703">
        <f>huishoudens!E8</f>
        <v>3037.5435388526325</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18578.238729633555</v>
      </c>
      <c r="P11" s="703">
        <f>huishoudens!O8</f>
        <v>134.44666666666666</v>
      </c>
      <c r="Q11" s="704">
        <f>huishoudens!P8</f>
        <v>419.4666666666667</v>
      </c>
      <c r="R11" s="706">
        <f>SUM(C11:Q11)</f>
        <v>170154.17157984621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15620.15800954845</v>
      </c>
      <c r="D13" s="703">
        <f>industrie!C18</f>
        <v>0</v>
      </c>
      <c r="E13" s="703">
        <f>industrie!D18</f>
        <v>15228.968458482843</v>
      </c>
      <c r="F13" s="703">
        <f>industrie!E18</f>
        <v>145.3511424716967</v>
      </c>
      <c r="G13" s="703">
        <f>industrie!F18</f>
        <v>3293.4841830401683</v>
      </c>
      <c r="H13" s="703">
        <f>industrie!G18</f>
        <v>0</v>
      </c>
      <c r="I13" s="703">
        <f>industrie!H18</f>
        <v>0</v>
      </c>
      <c r="J13" s="703">
        <f>industrie!I18</f>
        <v>0</v>
      </c>
      <c r="K13" s="703">
        <f>industrie!J18</f>
        <v>40.409339110999781</v>
      </c>
      <c r="L13" s="703">
        <f>industrie!K18</f>
        <v>0</v>
      </c>
      <c r="M13" s="703">
        <f>industrie!L18</f>
        <v>0</v>
      </c>
      <c r="N13" s="703">
        <f>industrie!M18</f>
        <v>0</v>
      </c>
      <c r="O13" s="703">
        <f>industrie!N18</f>
        <v>446.72996390860101</v>
      </c>
      <c r="P13" s="703">
        <f>industrie!O18</f>
        <v>0</v>
      </c>
      <c r="Q13" s="704">
        <f>industrie!P18</f>
        <v>0</v>
      </c>
      <c r="R13" s="706">
        <f>SUM(C13:Q13)</f>
        <v>34775.101096562757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72912.266300587304</v>
      </c>
      <c r="D15" s="708">
        <f t="shared" ref="D15:Q15" ca="1" si="0">SUM(D9:D14)</f>
        <v>0</v>
      </c>
      <c r="E15" s="708">
        <f t="shared" ca="1" si="0"/>
        <v>154080.49994666906</v>
      </c>
      <c r="F15" s="708">
        <f t="shared" si="0"/>
        <v>3365.3415914977973</v>
      </c>
      <c r="G15" s="708">
        <f t="shared" ca="1" si="0"/>
        <v>7214.7638554154528</v>
      </c>
      <c r="H15" s="708">
        <f t="shared" si="0"/>
        <v>0</v>
      </c>
      <c r="I15" s="708">
        <f t="shared" si="0"/>
        <v>0</v>
      </c>
      <c r="J15" s="708">
        <f t="shared" si="0"/>
        <v>0</v>
      </c>
      <c r="K15" s="708">
        <f t="shared" si="0"/>
        <v>40.409339110999781</v>
      </c>
      <c r="L15" s="708">
        <f t="shared" si="0"/>
        <v>0</v>
      </c>
      <c r="M15" s="708">
        <f t="shared" ca="1" si="0"/>
        <v>0</v>
      </c>
      <c r="N15" s="708">
        <f t="shared" si="0"/>
        <v>0</v>
      </c>
      <c r="O15" s="708">
        <f t="shared" ca="1" si="0"/>
        <v>20722.024029023709</v>
      </c>
      <c r="P15" s="708">
        <f t="shared" si="0"/>
        <v>134.44666666666666</v>
      </c>
      <c r="Q15" s="709">
        <f t="shared" si="0"/>
        <v>419.4666666666667</v>
      </c>
      <c r="R15" s="710">
        <f ca="1">SUM(R9:R14)</f>
        <v>258889.21839563761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1005.90609383066</v>
      </c>
      <c r="I18" s="703">
        <f>transport!H54</f>
        <v>0</v>
      </c>
      <c r="J18" s="703">
        <f>transport!I54</f>
        <v>0</v>
      </c>
      <c r="K18" s="703">
        <f>transport!J54</f>
        <v>0</v>
      </c>
      <c r="L18" s="703">
        <f>transport!K54</f>
        <v>0</v>
      </c>
      <c r="M18" s="703">
        <f>transport!L54</f>
        <v>0</v>
      </c>
      <c r="N18" s="703">
        <f>transport!M54</f>
        <v>44.170995925999961</v>
      </c>
      <c r="O18" s="703">
        <f>transport!N54</f>
        <v>0</v>
      </c>
      <c r="P18" s="703">
        <f>transport!O54</f>
        <v>0</v>
      </c>
      <c r="Q18" s="704">
        <f>transport!P54</f>
        <v>0</v>
      </c>
      <c r="R18" s="706">
        <f>SUM(C18:Q18)</f>
        <v>1050.0770897566599</v>
      </c>
      <c r="S18" s="68"/>
    </row>
    <row r="19" spans="1:19" s="458" customFormat="1" ht="15" thickBot="1">
      <c r="A19" s="859" t="s">
        <v>307</v>
      </c>
      <c r="B19" s="864"/>
      <c r="C19" s="712">
        <f>transport!B14</f>
        <v>1.9148419630786149</v>
      </c>
      <c r="D19" s="712">
        <f>transport!C14</f>
        <v>0</v>
      </c>
      <c r="E19" s="712">
        <f>transport!D14</f>
        <v>5.3511466261451375</v>
      </c>
      <c r="F19" s="712">
        <f>transport!E14</f>
        <v>309.72123262897651</v>
      </c>
      <c r="G19" s="712">
        <f>transport!F14</f>
        <v>0</v>
      </c>
      <c r="H19" s="712">
        <f>transport!G14</f>
        <v>58852.497405153466</v>
      </c>
      <c r="I19" s="712">
        <f>transport!H14</f>
        <v>11877.441511403482</v>
      </c>
      <c r="J19" s="712">
        <f>transport!I14</f>
        <v>0</v>
      </c>
      <c r="K19" s="712">
        <f>transport!J14</f>
        <v>0</v>
      </c>
      <c r="L19" s="712">
        <f>transport!K14</f>
        <v>0</v>
      </c>
      <c r="M19" s="712">
        <f>transport!L14</f>
        <v>0</v>
      </c>
      <c r="N19" s="712">
        <f>transport!M14</f>
        <v>3164.0259717632516</v>
      </c>
      <c r="O19" s="712">
        <f>transport!N14</f>
        <v>0</v>
      </c>
      <c r="P19" s="712">
        <f>transport!O14</f>
        <v>0</v>
      </c>
      <c r="Q19" s="713">
        <f>transport!P14</f>
        <v>0</v>
      </c>
      <c r="R19" s="714">
        <f>SUM(C19:Q19)</f>
        <v>74210.952109538412</v>
      </c>
      <c r="S19" s="68"/>
    </row>
    <row r="20" spans="1:19" s="458" customFormat="1" ht="15.75" thickBot="1">
      <c r="A20" s="715" t="s">
        <v>230</v>
      </c>
      <c r="B20" s="867"/>
      <c r="C20" s="862">
        <f>SUM(C17:C19)</f>
        <v>1.9148419630786149</v>
      </c>
      <c r="D20" s="716">
        <f t="shared" ref="D20:R20" si="1">SUM(D17:D19)</f>
        <v>0</v>
      </c>
      <c r="E20" s="716">
        <f t="shared" si="1"/>
        <v>5.3511466261451375</v>
      </c>
      <c r="F20" s="716">
        <f t="shared" si="1"/>
        <v>309.72123262897651</v>
      </c>
      <c r="G20" s="716">
        <f t="shared" si="1"/>
        <v>0</v>
      </c>
      <c r="H20" s="716">
        <f t="shared" si="1"/>
        <v>59858.403498984124</v>
      </c>
      <c r="I20" s="716">
        <f t="shared" si="1"/>
        <v>11877.441511403482</v>
      </c>
      <c r="J20" s="716">
        <f t="shared" si="1"/>
        <v>0</v>
      </c>
      <c r="K20" s="716">
        <f t="shared" si="1"/>
        <v>0</v>
      </c>
      <c r="L20" s="716">
        <f t="shared" si="1"/>
        <v>0</v>
      </c>
      <c r="M20" s="716">
        <f t="shared" si="1"/>
        <v>0</v>
      </c>
      <c r="N20" s="716">
        <f t="shared" si="1"/>
        <v>3208.1969676892518</v>
      </c>
      <c r="O20" s="716">
        <f t="shared" si="1"/>
        <v>0</v>
      </c>
      <c r="P20" s="716">
        <f t="shared" si="1"/>
        <v>0</v>
      </c>
      <c r="Q20" s="717">
        <f t="shared" si="1"/>
        <v>0</v>
      </c>
      <c r="R20" s="718">
        <f t="shared" si="1"/>
        <v>75261.029199295066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3260.7778503013601</v>
      </c>
      <c r="D22" s="712">
        <f>+landbouw!C8</f>
        <v>13011.749999999998</v>
      </c>
      <c r="E22" s="712">
        <f>+landbouw!D8</f>
        <v>13054.984074431952</v>
      </c>
      <c r="F22" s="712">
        <f>+landbouw!E8</f>
        <v>30.718712142666487</v>
      </c>
      <c r="G22" s="712">
        <f>+landbouw!F8</f>
        <v>10641.000282663284</v>
      </c>
      <c r="H22" s="712">
        <f>+landbouw!G8</f>
        <v>0</v>
      </c>
      <c r="I22" s="712">
        <f>+landbouw!H8</f>
        <v>0</v>
      </c>
      <c r="J22" s="712">
        <f>+landbouw!I8</f>
        <v>0</v>
      </c>
      <c r="K22" s="712">
        <f>+landbouw!J8</f>
        <v>403.37408050269551</v>
      </c>
      <c r="L22" s="712">
        <f>+landbouw!K8</f>
        <v>0</v>
      </c>
      <c r="M22" s="712">
        <f>+landbouw!L8</f>
        <v>0</v>
      </c>
      <c r="N22" s="712">
        <f>+landbouw!M8</f>
        <v>0</v>
      </c>
      <c r="O22" s="712">
        <f>+landbouw!N8</f>
        <v>0</v>
      </c>
      <c r="P22" s="712">
        <f>+landbouw!O8</f>
        <v>0</v>
      </c>
      <c r="Q22" s="713">
        <f>+landbouw!P8</f>
        <v>0</v>
      </c>
      <c r="R22" s="714">
        <f>SUM(C22:Q22)</f>
        <v>40402.605000041956</v>
      </c>
      <c r="S22" s="68"/>
    </row>
    <row r="23" spans="1:19" s="458" customFormat="1" ht="17.25" thickTop="1" thickBot="1">
      <c r="A23" s="719" t="s">
        <v>116</v>
      </c>
      <c r="B23" s="853"/>
      <c r="C23" s="720">
        <f ca="1">C20+C15+C22</f>
        <v>76174.958992851738</v>
      </c>
      <c r="D23" s="720">
        <f t="shared" ref="D23:Q23" ca="1" si="2">D20+D15+D22</f>
        <v>13011.749999999998</v>
      </c>
      <c r="E23" s="720">
        <f t="shared" ca="1" si="2"/>
        <v>167140.83516772714</v>
      </c>
      <c r="F23" s="720">
        <f t="shared" si="2"/>
        <v>3705.78153626944</v>
      </c>
      <c r="G23" s="720">
        <f t="shared" ca="1" si="2"/>
        <v>17855.764138078739</v>
      </c>
      <c r="H23" s="720">
        <f t="shared" si="2"/>
        <v>59858.403498984124</v>
      </c>
      <c r="I23" s="720">
        <f t="shared" si="2"/>
        <v>11877.441511403482</v>
      </c>
      <c r="J23" s="720">
        <f t="shared" si="2"/>
        <v>0</v>
      </c>
      <c r="K23" s="720">
        <f t="shared" si="2"/>
        <v>443.78341961369529</v>
      </c>
      <c r="L23" s="720">
        <f t="shared" si="2"/>
        <v>0</v>
      </c>
      <c r="M23" s="720">
        <f t="shared" ca="1" si="2"/>
        <v>0</v>
      </c>
      <c r="N23" s="720">
        <f t="shared" si="2"/>
        <v>3208.1969676892518</v>
      </c>
      <c r="O23" s="720">
        <f t="shared" ca="1" si="2"/>
        <v>20722.024029023709</v>
      </c>
      <c r="P23" s="720">
        <f t="shared" si="2"/>
        <v>134.44666666666666</v>
      </c>
      <c r="Q23" s="721">
        <f t="shared" si="2"/>
        <v>419.4666666666667</v>
      </c>
      <c r="R23" s="722">
        <f ca="1">R20+R15+R22</f>
        <v>374552.85259497463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3696.6171393022105</v>
      </c>
      <c r="D36" s="703">
        <f ca="1">tertiair!C20</f>
        <v>0</v>
      </c>
      <c r="E36" s="703">
        <f ca="1">tertiair!D20</f>
        <v>5622.1794143552952</v>
      </c>
      <c r="F36" s="703">
        <f>tertiair!E20</f>
        <v>41.415448609377258</v>
      </c>
      <c r="G36" s="703">
        <f ca="1">tertiair!F20</f>
        <v>1046.9816725242008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10407.193674791084</v>
      </c>
    </row>
    <row r="37" spans="1:18">
      <c r="A37" s="874" t="s">
        <v>225</v>
      </c>
      <c r="B37" s="881"/>
      <c r="C37" s="703">
        <f ca="1">huishoudens!B12</f>
        <v>6722.5906078530197</v>
      </c>
      <c r="D37" s="703">
        <f ca="1">huishoudens!C12</f>
        <v>0</v>
      </c>
      <c r="E37" s="703">
        <f>huishoudens!D12</f>
        <v>22425.82994625832</v>
      </c>
      <c r="F37" s="703">
        <f>huishoudens!E12</f>
        <v>689.52238331954766</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29837.942937430889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2840.6996390868021</v>
      </c>
      <c r="D39" s="703">
        <f ca="1">industrie!C22</f>
        <v>0</v>
      </c>
      <c r="E39" s="703">
        <f>industrie!D22</f>
        <v>3076.2516286135346</v>
      </c>
      <c r="F39" s="703">
        <f>industrie!E22</f>
        <v>32.994709341075151</v>
      </c>
      <c r="G39" s="703">
        <f>industrie!F22</f>
        <v>879.36027687172498</v>
      </c>
      <c r="H39" s="703">
        <f>industrie!G22</f>
        <v>0</v>
      </c>
      <c r="I39" s="703">
        <f>industrie!H22</f>
        <v>0</v>
      </c>
      <c r="J39" s="703">
        <f>industrie!I22</f>
        <v>0</v>
      </c>
      <c r="K39" s="703">
        <f>industrie!J22</f>
        <v>14.304906045293922</v>
      </c>
      <c r="L39" s="703">
        <f>industrie!K22</f>
        <v>0</v>
      </c>
      <c r="M39" s="703">
        <f>industrie!L22</f>
        <v>0</v>
      </c>
      <c r="N39" s="703">
        <f>industrie!M22</f>
        <v>0</v>
      </c>
      <c r="O39" s="703">
        <f>industrie!N22</f>
        <v>0</v>
      </c>
      <c r="P39" s="703">
        <f>industrie!O22</f>
        <v>0</v>
      </c>
      <c r="Q39" s="813">
        <f>industrie!P22</f>
        <v>0</v>
      </c>
      <c r="R39" s="907">
        <f ca="1">SUM(C39:Q39)</f>
        <v>6843.611159958431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13259.907386242032</v>
      </c>
      <c r="D41" s="748">
        <f t="shared" ref="D41:R41" ca="1" si="4">SUM(D35:D40)</f>
        <v>0</v>
      </c>
      <c r="E41" s="748">
        <f t="shared" ca="1" si="4"/>
        <v>31124.26098922715</v>
      </c>
      <c r="F41" s="748">
        <f t="shared" si="4"/>
        <v>763.93254127</v>
      </c>
      <c r="G41" s="748">
        <f t="shared" ca="1" si="4"/>
        <v>1926.3419493959259</v>
      </c>
      <c r="H41" s="748">
        <f t="shared" si="4"/>
        <v>0</v>
      </c>
      <c r="I41" s="748">
        <f t="shared" si="4"/>
        <v>0</v>
      </c>
      <c r="J41" s="748">
        <f t="shared" si="4"/>
        <v>0</v>
      </c>
      <c r="K41" s="748">
        <f t="shared" si="4"/>
        <v>14.304906045293922</v>
      </c>
      <c r="L41" s="748">
        <f t="shared" si="4"/>
        <v>0</v>
      </c>
      <c r="M41" s="748">
        <f t="shared" ca="1" si="4"/>
        <v>0</v>
      </c>
      <c r="N41" s="748">
        <f t="shared" si="4"/>
        <v>0</v>
      </c>
      <c r="O41" s="748">
        <f t="shared" ca="1" si="4"/>
        <v>0</v>
      </c>
      <c r="P41" s="748">
        <f t="shared" si="4"/>
        <v>0</v>
      </c>
      <c r="Q41" s="749">
        <f t="shared" si="4"/>
        <v>0</v>
      </c>
      <c r="R41" s="750">
        <f t="shared" ca="1" si="4"/>
        <v>47088.74777218041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268.57692705278623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268.57692705278623</v>
      </c>
    </row>
    <row r="45" spans="1:18" ht="15" thickBot="1">
      <c r="A45" s="877" t="s">
        <v>307</v>
      </c>
      <c r="B45" s="887"/>
      <c r="C45" s="712">
        <f ca="1">transport!B18</f>
        <v>0.34823532963626724</v>
      </c>
      <c r="D45" s="712">
        <f>transport!C18</f>
        <v>0</v>
      </c>
      <c r="E45" s="712">
        <f>transport!D18</f>
        <v>1.0809316184813178</v>
      </c>
      <c r="F45" s="712">
        <f>transport!E18</f>
        <v>70.306719806777664</v>
      </c>
      <c r="G45" s="712">
        <f>transport!F18</f>
        <v>0</v>
      </c>
      <c r="H45" s="712">
        <f>transport!G18</f>
        <v>15713.616807175977</v>
      </c>
      <c r="I45" s="712">
        <f>transport!H18</f>
        <v>2957.482936339467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18742.83563027034</v>
      </c>
    </row>
    <row r="46" spans="1:18" ht="15.75" thickBot="1">
      <c r="A46" s="875" t="s">
        <v>230</v>
      </c>
      <c r="B46" s="888"/>
      <c r="C46" s="748">
        <f t="shared" ref="C46:R46" ca="1" si="5">SUM(C43:C45)</f>
        <v>0.34823532963626724</v>
      </c>
      <c r="D46" s="748">
        <f t="shared" ca="1" si="5"/>
        <v>0</v>
      </c>
      <c r="E46" s="748">
        <f t="shared" si="5"/>
        <v>1.0809316184813178</v>
      </c>
      <c r="F46" s="748">
        <f t="shared" si="5"/>
        <v>70.306719806777664</v>
      </c>
      <c r="G46" s="748">
        <f t="shared" si="5"/>
        <v>0</v>
      </c>
      <c r="H46" s="748">
        <f t="shared" si="5"/>
        <v>15982.193734228764</v>
      </c>
      <c r="I46" s="748">
        <f t="shared" si="5"/>
        <v>2957.482936339467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19011.412557323125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593.00875553441892</v>
      </c>
      <c r="D48" s="703">
        <f ca="1">+landbouw!C12</f>
        <v>3077.363402408223</v>
      </c>
      <c r="E48" s="703">
        <f>+landbouw!D12</f>
        <v>2637.1067830352545</v>
      </c>
      <c r="F48" s="703">
        <f>+landbouw!E12</f>
        <v>6.9731476563852928</v>
      </c>
      <c r="G48" s="703">
        <f>+landbouw!F12</f>
        <v>2841.1470754710972</v>
      </c>
      <c r="H48" s="703">
        <f>+landbouw!G12</f>
        <v>0</v>
      </c>
      <c r="I48" s="703">
        <f>+landbouw!H12</f>
        <v>0</v>
      </c>
      <c r="J48" s="703">
        <f>+landbouw!I12</f>
        <v>0</v>
      </c>
      <c r="K48" s="703">
        <f>+landbouw!J12</f>
        <v>142.7944244979542</v>
      </c>
      <c r="L48" s="703">
        <f>+landbouw!K12</f>
        <v>0</v>
      </c>
      <c r="M48" s="703">
        <f>+landbouw!L12</f>
        <v>0</v>
      </c>
      <c r="N48" s="703">
        <f>+landbouw!M12</f>
        <v>0</v>
      </c>
      <c r="O48" s="703">
        <f>+landbouw!N12</f>
        <v>0</v>
      </c>
      <c r="P48" s="703">
        <f>+landbouw!O12</f>
        <v>0</v>
      </c>
      <c r="Q48" s="704">
        <f>+landbouw!P12</f>
        <v>0</v>
      </c>
      <c r="R48" s="746">
        <f ca="1">SUM(C48:Q48)</f>
        <v>9298.3935886033341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13853.264377106087</v>
      </c>
      <c r="D53" s="758">
        <f t="shared" ref="D53:Q53" ca="1" si="6">D41+D46+D48</f>
        <v>3077.363402408223</v>
      </c>
      <c r="E53" s="758">
        <f t="shared" ca="1" si="6"/>
        <v>33762.448703880887</v>
      </c>
      <c r="F53" s="758">
        <f t="shared" si="6"/>
        <v>841.21240873316299</v>
      </c>
      <c r="G53" s="758">
        <f t="shared" ca="1" si="6"/>
        <v>4767.4890248670235</v>
      </c>
      <c r="H53" s="758">
        <f t="shared" si="6"/>
        <v>15982.193734228764</v>
      </c>
      <c r="I53" s="758">
        <f t="shared" si="6"/>
        <v>2957.482936339467</v>
      </c>
      <c r="J53" s="758">
        <f t="shared" si="6"/>
        <v>0</v>
      </c>
      <c r="K53" s="758">
        <f t="shared" si="6"/>
        <v>157.09933054324813</v>
      </c>
      <c r="L53" s="758">
        <f t="shared" si="6"/>
        <v>0</v>
      </c>
      <c r="M53" s="758">
        <f t="shared" ca="1" si="6"/>
        <v>0</v>
      </c>
      <c r="N53" s="758">
        <f t="shared" si="6"/>
        <v>0</v>
      </c>
      <c r="O53" s="758">
        <f t="shared" ca="1" si="6"/>
        <v>0</v>
      </c>
      <c r="P53" s="758">
        <f>P41+P46+P48</f>
        <v>0</v>
      </c>
      <c r="Q53" s="759">
        <f t="shared" si="6"/>
        <v>0</v>
      </c>
      <c r="R53" s="760">
        <f ca="1">R41+R46+R48</f>
        <v>75398.55391810686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0.18186113337331863</v>
      </c>
      <c r="D55" s="824">
        <f t="shared" ca="1" si="7"/>
        <v>0.23650649623672629</v>
      </c>
      <c r="E55" s="824">
        <f t="shared" ca="1" si="7"/>
        <v>0.20200000000000004</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10181.125773829213</v>
      </c>
      <c r="C64" s="780">
        <f>'lokale energieproductie'!B4</f>
        <v>10181.125773829213</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3948.3799826940353</v>
      </c>
      <c r="C66" s="780">
        <f>'lokale energieproductie'!B6</f>
        <v>3948.3799826940353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9107.0999999999985</v>
      </c>
      <c r="C67" s="779">
        <f>B67*IFERROR(SUM(J67:L67)/SUM(D67:M67),0)</f>
        <v>43.647124411212488</v>
      </c>
      <c r="D67" s="811">
        <f>'lokale energieproductie'!C7</f>
        <v>10662.813425136088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51.349209901444752</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2153.8883118774897</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23236.605756523248</v>
      </c>
      <c r="C69" s="788">
        <f>SUM(C64:C68)</f>
        <v>14173.152880934462</v>
      </c>
      <c r="D69" s="789">
        <f t="shared" ref="D69:M69" si="8">SUM(D67:D68)</f>
        <v>10662.813425136088</v>
      </c>
      <c r="E69" s="789">
        <f t="shared" si="8"/>
        <v>0</v>
      </c>
      <c r="F69" s="789">
        <f t="shared" si="8"/>
        <v>0</v>
      </c>
      <c r="G69" s="789">
        <f t="shared" si="8"/>
        <v>0</v>
      </c>
      <c r="H69" s="789">
        <f t="shared" si="8"/>
        <v>0</v>
      </c>
      <c r="I69" s="789">
        <f t="shared" si="8"/>
        <v>0</v>
      </c>
      <c r="J69" s="789">
        <f t="shared" si="8"/>
        <v>0</v>
      </c>
      <c r="K69" s="789">
        <f t="shared" si="8"/>
        <v>51.349209901444752</v>
      </c>
      <c r="L69" s="789">
        <f t="shared" si="8"/>
        <v>0</v>
      </c>
      <c r="M69" s="919">
        <f t="shared" si="8"/>
        <v>0</v>
      </c>
      <c r="N69" s="790">
        <v>0</v>
      </c>
      <c r="O69" s="790">
        <f>SUM(O67:O68)</f>
        <v>2153.8883118774897</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13011.749999999998</v>
      </c>
      <c r="C78" s="802">
        <f>B78*IFERROR(SUM(I78:L78)/SUM(D78:M78),0)</f>
        <v>62.360737343127234</v>
      </c>
      <c r="D78" s="817">
        <f>'lokale energieproductie'!C16</f>
        <v>15234.472289149619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73.365075812840928</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3077.363402408223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13011.749999999998</v>
      </c>
      <c r="C81" s="788">
        <f>SUM(C78:C80)</f>
        <v>62.360737343127234</v>
      </c>
      <c r="D81" s="788">
        <f t="shared" ref="D81:P81" si="9">SUM(D78:D80)</f>
        <v>15234.472289149619</v>
      </c>
      <c r="E81" s="788">
        <f t="shared" si="9"/>
        <v>0</v>
      </c>
      <c r="F81" s="788">
        <f t="shared" si="9"/>
        <v>0</v>
      </c>
      <c r="G81" s="788">
        <f t="shared" si="9"/>
        <v>0</v>
      </c>
      <c r="H81" s="788">
        <f t="shared" si="9"/>
        <v>0</v>
      </c>
      <c r="I81" s="788">
        <f t="shared" si="9"/>
        <v>0</v>
      </c>
      <c r="J81" s="788">
        <f t="shared" si="9"/>
        <v>0</v>
      </c>
      <c r="K81" s="788">
        <f t="shared" si="9"/>
        <v>73.365075812840928</v>
      </c>
      <c r="L81" s="788">
        <f t="shared" si="9"/>
        <v>0</v>
      </c>
      <c r="M81" s="788">
        <f t="shared" si="9"/>
        <v>0</v>
      </c>
      <c r="N81" s="788">
        <v>0</v>
      </c>
      <c r="O81" s="788">
        <f>SUM(O78:O80)</f>
        <v>3077.363402408223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36965.515848035015</v>
      </c>
      <c r="C4" s="462">
        <f>huishoudens!C8</f>
        <v>0</v>
      </c>
      <c r="D4" s="462">
        <f>huishoudens!D8</f>
        <v>111018.96012999167</v>
      </c>
      <c r="E4" s="462">
        <f>huishoudens!E8</f>
        <v>3037.5435388526325</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18578.238729633555</v>
      </c>
      <c r="O4" s="462">
        <f>huishoudens!O8</f>
        <v>134.44666666666666</v>
      </c>
      <c r="P4" s="463">
        <f>huishoudens!P8</f>
        <v>419.4666666666667</v>
      </c>
      <c r="Q4" s="464">
        <f>SUM(B4:P4)</f>
        <v>170154.17157984621</v>
      </c>
    </row>
    <row r="5" spans="1:17">
      <c r="A5" s="461" t="s">
        <v>156</v>
      </c>
      <c r="B5" s="462">
        <f ca="1">tertiair!B16</f>
        <v>19239.514443003831</v>
      </c>
      <c r="C5" s="462">
        <f ca="1">tertiair!C16</f>
        <v>0</v>
      </c>
      <c r="D5" s="462">
        <f ca="1">tertiair!D16</f>
        <v>27832.571358194531</v>
      </c>
      <c r="E5" s="462">
        <f>tertiair!E16</f>
        <v>182.4469101734681</v>
      </c>
      <c r="F5" s="462">
        <f ca="1">tertiair!F16</f>
        <v>3921.279672375284</v>
      </c>
      <c r="G5" s="462">
        <f>tertiair!G16</f>
        <v>0</v>
      </c>
      <c r="H5" s="462">
        <f>tertiair!H16</f>
        <v>0</v>
      </c>
      <c r="I5" s="462">
        <f>tertiair!I16</f>
        <v>0</v>
      </c>
      <c r="J5" s="462">
        <f>tertiair!J16</f>
        <v>0</v>
      </c>
      <c r="K5" s="462">
        <f>tertiair!K16</f>
        <v>0</v>
      </c>
      <c r="L5" s="462">
        <f ca="1">tertiair!L16</f>
        <v>0</v>
      </c>
      <c r="M5" s="462">
        <f>tertiair!M16</f>
        <v>0</v>
      </c>
      <c r="N5" s="462">
        <f ca="1">tertiair!N16</f>
        <v>1697.055335481552</v>
      </c>
      <c r="O5" s="462">
        <f>tertiair!O16</f>
        <v>0</v>
      </c>
      <c r="P5" s="463">
        <f>tertiair!P16</f>
        <v>0</v>
      </c>
      <c r="Q5" s="461">
        <f t="shared" ref="Q5:Q13" ca="1" si="0">SUM(B5:P5)</f>
        <v>52872.867719228663</v>
      </c>
    </row>
    <row r="6" spans="1:17">
      <c r="A6" s="461" t="s">
        <v>194</v>
      </c>
      <c r="B6" s="462">
        <f>'openbare verlichting'!B8</f>
        <v>1087.078</v>
      </c>
      <c r="C6" s="462"/>
      <c r="D6" s="462"/>
      <c r="E6" s="462"/>
      <c r="F6" s="462"/>
      <c r="G6" s="462"/>
      <c r="H6" s="462"/>
      <c r="I6" s="462"/>
      <c r="J6" s="462"/>
      <c r="K6" s="462"/>
      <c r="L6" s="462"/>
      <c r="M6" s="462"/>
      <c r="N6" s="462"/>
      <c r="O6" s="462"/>
      <c r="P6" s="463"/>
      <c r="Q6" s="461">
        <f t="shared" si="0"/>
        <v>1087.078</v>
      </c>
    </row>
    <row r="7" spans="1:17">
      <c r="A7" s="461" t="s">
        <v>112</v>
      </c>
      <c r="B7" s="462">
        <f>landbouw!B8</f>
        <v>3260.7778503013601</v>
      </c>
      <c r="C7" s="462">
        <f>landbouw!C8</f>
        <v>13011.749999999998</v>
      </c>
      <c r="D7" s="462">
        <f>landbouw!D8</f>
        <v>13054.984074431952</v>
      </c>
      <c r="E7" s="462">
        <f>landbouw!E8</f>
        <v>30.718712142666487</v>
      </c>
      <c r="F7" s="462">
        <f>landbouw!F8</f>
        <v>10641.000282663284</v>
      </c>
      <c r="G7" s="462">
        <f>landbouw!G8</f>
        <v>0</v>
      </c>
      <c r="H7" s="462">
        <f>landbouw!H8</f>
        <v>0</v>
      </c>
      <c r="I7" s="462">
        <f>landbouw!I8</f>
        <v>0</v>
      </c>
      <c r="J7" s="462">
        <f>landbouw!J8</f>
        <v>403.37408050269551</v>
      </c>
      <c r="K7" s="462">
        <f>landbouw!K8</f>
        <v>0</v>
      </c>
      <c r="L7" s="462">
        <f>landbouw!L8</f>
        <v>0</v>
      </c>
      <c r="M7" s="462">
        <f>landbouw!M8</f>
        <v>0</v>
      </c>
      <c r="N7" s="462">
        <f>landbouw!N8</f>
        <v>0</v>
      </c>
      <c r="O7" s="462">
        <f>landbouw!O8</f>
        <v>0</v>
      </c>
      <c r="P7" s="463">
        <f>landbouw!P8</f>
        <v>0</v>
      </c>
      <c r="Q7" s="461">
        <f t="shared" si="0"/>
        <v>40402.605000041956</v>
      </c>
    </row>
    <row r="8" spans="1:17">
      <c r="A8" s="461" t="s">
        <v>685</v>
      </c>
      <c r="B8" s="462">
        <f>industrie!B18</f>
        <v>15620.15800954845</v>
      </c>
      <c r="C8" s="462">
        <f>industrie!C18</f>
        <v>0</v>
      </c>
      <c r="D8" s="462">
        <f>industrie!D18</f>
        <v>15228.968458482843</v>
      </c>
      <c r="E8" s="462">
        <f>industrie!E18</f>
        <v>145.3511424716967</v>
      </c>
      <c r="F8" s="462">
        <f>industrie!F18</f>
        <v>3293.4841830401683</v>
      </c>
      <c r="G8" s="462">
        <f>industrie!G18</f>
        <v>0</v>
      </c>
      <c r="H8" s="462">
        <f>industrie!H18</f>
        <v>0</v>
      </c>
      <c r="I8" s="462">
        <f>industrie!I18</f>
        <v>0</v>
      </c>
      <c r="J8" s="462">
        <f>industrie!J18</f>
        <v>40.409339110999781</v>
      </c>
      <c r="K8" s="462">
        <f>industrie!K18</f>
        <v>0</v>
      </c>
      <c r="L8" s="462">
        <f>industrie!L18</f>
        <v>0</v>
      </c>
      <c r="M8" s="462">
        <f>industrie!M18</f>
        <v>0</v>
      </c>
      <c r="N8" s="462">
        <f>industrie!N18</f>
        <v>446.72996390860101</v>
      </c>
      <c r="O8" s="462">
        <f>industrie!O18</f>
        <v>0</v>
      </c>
      <c r="P8" s="463">
        <f>industrie!P18</f>
        <v>0</v>
      </c>
      <c r="Q8" s="461">
        <f t="shared" si="0"/>
        <v>34775.101096562757</v>
      </c>
    </row>
    <row r="9" spans="1:17" s="467" customFormat="1">
      <c r="A9" s="465" t="s">
        <v>579</v>
      </c>
      <c r="B9" s="466">
        <f>transport!B14</f>
        <v>1.9148419630786149</v>
      </c>
      <c r="C9" s="466">
        <f>transport!C14</f>
        <v>0</v>
      </c>
      <c r="D9" s="466">
        <f>transport!D14</f>
        <v>5.3511466261451375</v>
      </c>
      <c r="E9" s="466">
        <f>transport!E14</f>
        <v>309.72123262897651</v>
      </c>
      <c r="F9" s="466">
        <f>transport!F14</f>
        <v>0</v>
      </c>
      <c r="G9" s="466">
        <f>transport!G14</f>
        <v>58852.497405153466</v>
      </c>
      <c r="H9" s="466">
        <f>transport!H14</f>
        <v>11877.441511403482</v>
      </c>
      <c r="I9" s="466">
        <f>transport!I14</f>
        <v>0</v>
      </c>
      <c r="J9" s="466">
        <f>transport!J14</f>
        <v>0</v>
      </c>
      <c r="K9" s="466">
        <f>transport!K14</f>
        <v>0</v>
      </c>
      <c r="L9" s="466">
        <f>transport!L14</f>
        <v>0</v>
      </c>
      <c r="M9" s="466">
        <f>transport!M14</f>
        <v>3164.0259717632516</v>
      </c>
      <c r="N9" s="466">
        <f>transport!N14</f>
        <v>0</v>
      </c>
      <c r="O9" s="466">
        <f>transport!O14</f>
        <v>0</v>
      </c>
      <c r="P9" s="466">
        <f>transport!P14</f>
        <v>0</v>
      </c>
      <c r="Q9" s="465">
        <f>SUM(B9:P9)</f>
        <v>74210.952109538412</v>
      </c>
    </row>
    <row r="10" spans="1:17">
      <c r="A10" s="461" t="s">
        <v>569</v>
      </c>
      <c r="B10" s="462">
        <f>transport!B54</f>
        <v>0</v>
      </c>
      <c r="C10" s="462">
        <f>transport!C54</f>
        <v>0</v>
      </c>
      <c r="D10" s="462">
        <f>transport!D54</f>
        <v>0</v>
      </c>
      <c r="E10" s="462">
        <f>transport!E54</f>
        <v>0</v>
      </c>
      <c r="F10" s="462">
        <f>transport!F54</f>
        <v>0</v>
      </c>
      <c r="G10" s="462">
        <f>transport!G54</f>
        <v>1005.90609383066</v>
      </c>
      <c r="H10" s="462">
        <f>transport!H54</f>
        <v>0</v>
      </c>
      <c r="I10" s="462">
        <f>transport!I54</f>
        <v>0</v>
      </c>
      <c r="J10" s="462">
        <f>transport!J54</f>
        <v>0</v>
      </c>
      <c r="K10" s="462">
        <f>transport!K54</f>
        <v>0</v>
      </c>
      <c r="L10" s="462">
        <f>transport!L54</f>
        <v>0</v>
      </c>
      <c r="M10" s="462">
        <f>transport!M54</f>
        <v>44.170995925999961</v>
      </c>
      <c r="N10" s="462">
        <f>transport!N54</f>
        <v>0</v>
      </c>
      <c r="O10" s="462">
        <f>transport!O54</f>
        <v>0</v>
      </c>
      <c r="P10" s="463">
        <f>transport!P54</f>
        <v>0</v>
      </c>
      <c r="Q10" s="461">
        <f t="shared" si="0"/>
        <v>1050.0770897566599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76174.958992851738</v>
      </c>
      <c r="C14" s="472">
        <f t="shared" ref="C14:Q14" ca="1" si="1">SUM(C4:C13)</f>
        <v>13011.749999999998</v>
      </c>
      <c r="D14" s="472">
        <f t="shared" ca="1" si="1"/>
        <v>167140.83516772714</v>
      </c>
      <c r="E14" s="472">
        <f t="shared" si="1"/>
        <v>3705.78153626944</v>
      </c>
      <c r="F14" s="472">
        <f t="shared" ca="1" si="1"/>
        <v>17855.764138078735</v>
      </c>
      <c r="G14" s="472">
        <f t="shared" si="1"/>
        <v>59858.403498984124</v>
      </c>
      <c r="H14" s="472">
        <f t="shared" si="1"/>
        <v>11877.441511403482</v>
      </c>
      <c r="I14" s="472">
        <f t="shared" si="1"/>
        <v>0</v>
      </c>
      <c r="J14" s="472">
        <f t="shared" si="1"/>
        <v>443.78341961369529</v>
      </c>
      <c r="K14" s="472">
        <f t="shared" si="1"/>
        <v>0</v>
      </c>
      <c r="L14" s="472">
        <f t="shared" ca="1" si="1"/>
        <v>0</v>
      </c>
      <c r="M14" s="472">
        <f t="shared" si="1"/>
        <v>3208.1969676892518</v>
      </c>
      <c r="N14" s="472">
        <f t="shared" ca="1" si="1"/>
        <v>20722.024029023709</v>
      </c>
      <c r="O14" s="472">
        <f t="shared" si="1"/>
        <v>134.44666666666666</v>
      </c>
      <c r="P14" s="473">
        <f t="shared" si="1"/>
        <v>419.4666666666667</v>
      </c>
      <c r="Q14" s="473">
        <f t="shared" ca="1" si="1"/>
        <v>374552.85259497468</v>
      </c>
    </row>
    <row r="16" spans="1:17">
      <c r="A16" s="475" t="s">
        <v>574</v>
      </c>
      <c r="B16" s="829">
        <f ca="1">huishoudens!B10</f>
        <v>0.18186113337331863</v>
      </c>
      <c r="C16" s="829">
        <f ca="1">huishoudens!C10</f>
        <v>0.23650649623672629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6722.5906078530197</v>
      </c>
      <c r="C21" s="462">
        <f t="shared" ref="C21:C30" ca="1" si="3">C4*$C$16</f>
        <v>0</v>
      </c>
      <c r="D21" s="462">
        <f t="shared" ref="D21:D30" si="4">D4*$D$16</f>
        <v>22425.82994625832</v>
      </c>
      <c r="E21" s="462">
        <f t="shared" ref="E21:E30" si="5">E4*$E$16</f>
        <v>689.52238331954766</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29837.942937430889</v>
      </c>
    </row>
    <row r="22" spans="1:17">
      <c r="A22" s="461" t="s">
        <v>156</v>
      </c>
      <c r="B22" s="462">
        <f t="shared" ca="1" si="2"/>
        <v>3498.9199021570098</v>
      </c>
      <c r="C22" s="462">
        <f t="shared" ca="1" si="3"/>
        <v>0</v>
      </c>
      <c r="D22" s="462">
        <f t="shared" ca="1" si="4"/>
        <v>5622.1794143552952</v>
      </c>
      <c r="E22" s="462">
        <f t="shared" si="5"/>
        <v>41.415448609377258</v>
      </c>
      <c r="F22" s="462">
        <f t="shared" ca="1" si="6"/>
        <v>1046.9816725242008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10209.496437645885</v>
      </c>
    </row>
    <row r="23" spans="1:17">
      <c r="A23" s="461" t="s">
        <v>194</v>
      </c>
      <c r="B23" s="462">
        <f t="shared" ca="1" si="2"/>
        <v>197.69723714520046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197.69723714520046</v>
      </c>
    </row>
    <row r="24" spans="1:17">
      <c r="A24" s="461" t="s">
        <v>112</v>
      </c>
      <c r="B24" s="462">
        <f t="shared" ca="1" si="2"/>
        <v>593.00875553441892</v>
      </c>
      <c r="C24" s="462">
        <f t="shared" ca="1" si="3"/>
        <v>3077.363402408223</v>
      </c>
      <c r="D24" s="462">
        <f t="shared" si="4"/>
        <v>2637.1067830352545</v>
      </c>
      <c r="E24" s="462">
        <f t="shared" si="5"/>
        <v>6.9731476563852928</v>
      </c>
      <c r="F24" s="462">
        <f t="shared" si="6"/>
        <v>2841.1470754710972</v>
      </c>
      <c r="G24" s="462">
        <f t="shared" si="7"/>
        <v>0</v>
      </c>
      <c r="H24" s="462">
        <f t="shared" si="8"/>
        <v>0</v>
      </c>
      <c r="I24" s="462">
        <f t="shared" si="9"/>
        <v>0</v>
      </c>
      <c r="J24" s="462">
        <f t="shared" si="10"/>
        <v>142.7944244979542</v>
      </c>
      <c r="K24" s="462">
        <f t="shared" si="11"/>
        <v>0</v>
      </c>
      <c r="L24" s="462">
        <f t="shared" si="12"/>
        <v>0</v>
      </c>
      <c r="M24" s="462">
        <f t="shared" si="13"/>
        <v>0</v>
      </c>
      <c r="N24" s="462">
        <f t="shared" si="14"/>
        <v>0</v>
      </c>
      <c r="O24" s="462">
        <f t="shared" si="15"/>
        <v>0</v>
      </c>
      <c r="P24" s="463">
        <f t="shared" si="16"/>
        <v>0</v>
      </c>
      <c r="Q24" s="461">
        <f t="shared" ca="1" si="17"/>
        <v>9298.3935886033341</v>
      </c>
    </row>
    <row r="25" spans="1:17">
      <c r="A25" s="461" t="s">
        <v>685</v>
      </c>
      <c r="B25" s="462">
        <f t="shared" ca="1" si="2"/>
        <v>2840.6996390868021</v>
      </c>
      <c r="C25" s="462">
        <f t="shared" ca="1" si="3"/>
        <v>0</v>
      </c>
      <c r="D25" s="462">
        <f t="shared" si="4"/>
        <v>3076.2516286135346</v>
      </c>
      <c r="E25" s="462">
        <f t="shared" si="5"/>
        <v>32.994709341075151</v>
      </c>
      <c r="F25" s="462">
        <f t="shared" si="6"/>
        <v>879.36027687172498</v>
      </c>
      <c r="G25" s="462">
        <f t="shared" si="7"/>
        <v>0</v>
      </c>
      <c r="H25" s="462">
        <f t="shared" si="8"/>
        <v>0</v>
      </c>
      <c r="I25" s="462">
        <f t="shared" si="9"/>
        <v>0</v>
      </c>
      <c r="J25" s="462">
        <f t="shared" si="10"/>
        <v>14.304906045293922</v>
      </c>
      <c r="K25" s="462">
        <f t="shared" si="11"/>
        <v>0</v>
      </c>
      <c r="L25" s="462">
        <f t="shared" si="12"/>
        <v>0</v>
      </c>
      <c r="M25" s="462">
        <f t="shared" si="13"/>
        <v>0</v>
      </c>
      <c r="N25" s="462">
        <f t="shared" si="14"/>
        <v>0</v>
      </c>
      <c r="O25" s="462">
        <f t="shared" si="15"/>
        <v>0</v>
      </c>
      <c r="P25" s="463">
        <f t="shared" si="16"/>
        <v>0</v>
      </c>
      <c r="Q25" s="461">
        <f t="shared" ca="1" si="17"/>
        <v>6843.611159958431</v>
      </c>
    </row>
    <row r="26" spans="1:17" s="467" customFormat="1">
      <c r="A26" s="465" t="s">
        <v>579</v>
      </c>
      <c r="B26" s="823">
        <f t="shared" ca="1" si="2"/>
        <v>0.34823532963626724</v>
      </c>
      <c r="C26" s="466">
        <f t="shared" ca="1" si="3"/>
        <v>0</v>
      </c>
      <c r="D26" s="466">
        <f t="shared" si="4"/>
        <v>1.0809316184813178</v>
      </c>
      <c r="E26" s="466">
        <f t="shared" si="5"/>
        <v>70.306719806777664</v>
      </c>
      <c r="F26" s="466">
        <f t="shared" si="6"/>
        <v>0</v>
      </c>
      <c r="G26" s="466">
        <f t="shared" si="7"/>
        <v>15713.616807175977</v>
      </c>
      <c r="H26" s="466">
        <f t="shared" si="8"/>
        <v>2957.482936339467</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18742.83563027034</v>
      </c>
    </row>
    <row r="27" spans="1:17">
      <c r="A27" s="461" t="s">
        <v>569</v>
      </c>
      <c r="B27" s="462">
        <f t="shared" ca="1" si="2"/>
        <v>0</v>
      </c>
      <c r="C27" s="462">
        <f t="shared" ca="1" si="3"/>
        <v>0</v>
      </c>
      <c r="D27" s="462">
        <f t="shared" si="4"/>
        <v>0</v>
      </c>
      <c r="E27" s="462">
        <f t="shared" si="5"/>
        <v>0</v>
      </c>
      <c r="F27" s="462">
        <f t="shared" si="6"/>
        <v>0</v>
      </c>
      <c r="G27" s="462">
        <f t="shared" si="7"/>
        <v>268.57692705278623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268.57692705278623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13853.26437710609</v>
      </c>
      <c r="C31" s="472">
        <f t="shared" ca="1" si="18"/>
        <v>3077.363402408223</v>
      </c>
      <c r="D31" s="472">
        <f t="shared" ca="1" si="18"/>
        <v>33762.448703880887</v>
      </c>
      <c r="E31" s="472">
        <f t="shared" si="18"/>
        <v>841.21240873316299</v>
      </c>
      <c r="F31" s="472">
        <f t="shared" ca="1" si="18"/>
        <v>4767.4890248670226</v>
      </c>
      <c r="G31" s="472">
        <f t="shared" si="18"/>
        <v>15982.193734228764</v>
      </c>
      <c r="H31" s="472">
        <f t="shared" si="18"/>
        <v>2957.482936339467</v>
      </c>
      <c r="I31" s="472">
        <f t="shared" si="18"/>
        <v>0</v>
      </c>
      <c r="J31" s="472">
        <f t="shared" si="18"/>
        <v>157.09933054324813</v>
      </c>
      <c r="K31" s="472">
        <f t="shared" si="18"/>
        <v>0</v>
      </c>
      <c r="L31" s="472">
        <f t="shared" ca="1" si="18"/>
        <v>0</v>
      </c>
      <c r="M31" s="472">
        <f t="shared" si="18"/>
        <v>0</v>
      </c>
      <c r="N31" s="472">
        <f t="shared" ca="1" si="18"/>
        <v>0</v>
      </c>
      <c r="O31" s="472">
        <f t="shared" si="18"/>
        <v>0</v>
      </c>
      <c r="P31" s="473">
        <f t="shared" si="18"/>
        <v>0</v>
      </c>
      <c r="Q31" s="473">
        <f t="shared" ca="1" si="18"/>
        <v>75398.55391810686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0.18186113337331863</v>
      </c>
      <c r="C17" s="512">
        <f ca="1">'EF ele_warmte'!B22</f>
        <v>0.23650649623672629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0.18186113337331863</v>
      </c>
      <c r="C17" s="512">
        <f ca="1">'EF ele_warmte'!B22</f>
        <v>0.23650649623672629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0.18186113337331863</v>
      </c>
      <c r="C29" s="513">
        <f ca="1">'EF ele_warmte'!B22</f>
        <v>0.23650649623672629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2018-06-27T09:16:41Z</dcterms:modified>
</cp:coreProperties>
</file>