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L8" i="17"/>
  <c r="M22" i="14" s="1"/>
  <c r="L5" i="17"/>
  <c r="C68" i="14"/>
  <c r="J81"/>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L12" i="17"/>
  <c r="M48" i="14" s="1"/>
  <c r="M13" i="48"/>
  <c r="M51" i="22"/>
  <c r="M50" s="1"/>
  <c r="M54" s="1"/>
  <c r="M10" i="48" s="1"/>
  <c r="M27" s="1"/>
  <c r="H31" i="20"/>
  <c r="I43" i="14" s="1"/>
  <c r="H13" i="48"/>
  <c r="H30" s="1"/>
  <c r="M31" i="20"/>
  <c r="N43" i="14" s="1"/>
  <c r="G50" i="22"/>
  <c r="G54" s="1"/>
  <c r="H18" i="14" s="1"/>
  <c r="G13" i="48"/>
  <c r="G30" s="1"/>
  <c r="H17" i="14"/>
  <c r="R17" s="1"/>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E7" i="48"/>
  <c r="E24" s="1"/>
  <c r="I7" i="18"/>
  <c r="I9" s="1"/>
  <c r="J7"/>
  <c r="E10" i="14"/>
  <c r="E15" s="1"/>
  <c r="E23" s="1"/>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67"/>
  <c r="I69" s="1"/>
  <c r="H9" i="18"/>
  <c r="Q13" i="48"/>
  <c r="G18" i="22"/>
  <c r="H45" i="14" s="1"/>
  <c r="G58" i="22"/>
  <c r="H44" i="14" s="1"/>
  <c r="M58" i="22"/>
  <c r="N44" i="14" s="1"/>
  <c r="G10" i="48"/>
  <c r="G27" s="1"/>
  <c r="N18" i="14"/>
  <c r="R18"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D14" i="48" l="1"/>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R10" i="14"/>
  <c r="J14" i="48" l="1"/>
  <c r="O13" i="14"/>
  <c r="O15" s="1"/>
  <c r="J31" i="48"/>
  <c r="F22" i="16"/>
  <c r="G39" i="14" s="1"/>
  <c r="G41" s="1"/>
  <c r="G53" s="1"/>
  <c r="G55" s="1"/>
  <c r="O69" s="1"/>
  <c r="B9" i="6" s="1"/>
  <c r="B12" s="1"/>
  <c r="E25" i="48"/>
  <c r="E31" s="1"/>
  <c r="E14"/>
  <c r="N25"/>
  <c r="N14"/>
  <c r="E22" i="16"/>
  <c r="F39" i="14" s="1"/>
  <c r="F41" s="1"/>
  <c r="F53" s="1"/>
  <c r="F55" s="1"/>
  <c r="J22" i="16"/>
  <c r="K39" i="14" s="1"/>
  <c r="K41" s="1"/>
  <c r="K53" s="1"/>
  <c r="Q8" i="48"/>
  <c r="Q14" s="1"/>
  <c r="N31"/>
  <c r="F13" i="14"/>
  <c r="F15" s="1"/>
  <c r="F23" s="1"/>
  <c r="G14" i="48"/>
  <c r="H55" i="14"/>
  <c r="M14" i="48"/>
  <c r="R19" i="14"/>
  <c r="R20" s="1"/>
  <c r="M26" i="48"/>
  <c r="M31" s="1"/>
  <c r="O53" i="14"/>
  <c r="M53"/>
  <c r="M55" s="1"/>
  <c r="C12" i="13"/>
  <c r="D37" i="14" s="1"/>
  <c r="D41" s="1"/>
  <c r="C23" i="48"/>
  <c r="C24"/>
  <c r="C27"/>
  <c r="C28"/>
  <c r="C22"/>
  <c r="C25"/>
  <c r="C29"/>
  <c r="C21"/>
  <c r="C26"/>
  <c r="K55" i="14"/>
  <c r="R13"/>
  <c r="R15" s="1"/>
  <c r="F25" i="48"/>
  <c r="F31" s="1"/>
  <c r="F14"/>
  <c r="B18" i="15" l="1"/>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l="1"/>
  <c r="B28" s="1"/>
  <c r="Q28" s="1"/>
  <c r="R46" i="14"/>
  <c r="C36"/>
  <c r="R36" s="1"/>
  <c r="R41" s="1"/>
  <c r="C46"/>
  <c r="B29" i="48"/>
  <c r="Q29" s="1"/>
  <c r="B22" l="1"/>
  <c r="Q22" s="1"/>
  <c r="Q31" s="1"/>
  <c r="B30"/>
  <c r="Q30" s="1"/>
  <c r="B23"/>
  <c r="Q23" s="1"/>
  <c r="B21"/>
  <c r="Q21" s="1"/>
  <c r="B24"/>
  <c r="Q24" s="1"/>
  <c r="B27"/>
  <c r="Q27" s="1"/>
  <c r="B26"/>
  <c r="Q26"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<sst xmlns="http://schemas.openxmlformats.org/spreadsheetml/2006/main" count="2018" uniqueCount="877">
  <si>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</si>
  <si>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</si>
  <si>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</si>
  <si>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</si>
  <si>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</si>
  <si>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</si>
  <si>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</si>
  <si>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</si>
  <si>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</si>
  <si>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</si>
  <si>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</si>
  <si>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</si>
  <si>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</si>
  <si>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</si>
  <si>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</si>
  <si>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</si>
  <si>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</si>
  <si>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</si>
  <si>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</si>
  <si>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</si>
  <si>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</si>
  <si>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</si>
  <si>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</si>
  <si>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</si>
  <si>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</si>
  <si>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</si>
  <si>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</si>
  <si>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</si>
  <si>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</si>
  <si>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</si>
  <si>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</si>
  <si>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</si>
  <si>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</si>
  <si>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</si>
  <si>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</si>
  <si>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</si>
  <si>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</si>
  <si>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</si>
  <si>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</si>
  <si>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</si>
  <si>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</si>
  <si>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</si>
  <si>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</si>
  <si>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</si>
  <si>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</si>
  <si>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</si>
  <si>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</si>
  <si>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</si>
  <si>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</si>
  <si>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</si>
  <si>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</si>
  <si>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</si>
  <si>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</si>
  <si>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</si>
  <si>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</si>
  <si>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</si>
  <si>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</si>
  <si>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</si>
  <si>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</si>
  <si>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</si>
  <si>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</si>
  <si>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</si>
  <si>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</si>
  <si>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</si>
  <si>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</si>
  <si>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</si>
  <si>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</si>
  <si>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</si>
  <si>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</si>
  <si>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</si>
  <si>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</si>
  <si>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</si>
  <si>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</si>
  <si>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</si>
  <si>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</si>
  <si>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</si>
  <si>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</si>
  <si>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</si>
  <si>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</si>
  <si>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</si>
  <si>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</si>
  <si>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</si>
  <si>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</si>
  <si>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</si>
  <si>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</si>
  <si>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</si>
  <si>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</si>
  <si>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</si>
  <si>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</si>
  <si>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</si>
  <si>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</si>
  <si>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</si>
  <si>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</si>
  <si>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</si>
  <si>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</si>
  <si>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</si>
  <si>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</si>
  <si>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</si>
  <si>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</si>
  <si>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</si>
  <si>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</si>
  <si>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</si>
  <si>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</si>
  <si>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</si>
  <si>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</si>
  <si>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</si>
  <si>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</si>
  <si>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</si>
  <si>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</si>
  <si>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</si>
  <si>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</si>
  <si>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</si>
  <si>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</si>
  <si>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</si>
  <si>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</si>
  <si>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</si>
  <si>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</si>
  <si>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</si>
  <si>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</si>
  <si>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</si>
  <si>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</si>
  <si>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</si>
  <si>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</si>
  <si>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</si>
  <si>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</si>
  <si>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</si>
  <si>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</si>
  <si>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</si>
  <si>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</si>
  <si>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</si>
  <si>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</si>
  <si>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</si>
  <si>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</si>
  <si>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</si>
  <si>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</si>
  <si>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</si>
  <si>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</si>
  <si>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</si>
  <si>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</si>
  <si>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</si>
  <si>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</si>
  <si>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</si>
  <si>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</si>
  <si>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</si>
  <si>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</si>
  <si>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</si>
  <si>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</si>
  <si>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</si>
  <si>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</si>
  <si>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</si>
  <si>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</si>
  <si>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</si>
  <si>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</si>
  <si>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</si>
  <si>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</si>
  <si>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</si>
  <si>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</si>
  <si>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</si>
  <si>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</si>
  <si>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</si>
  <si>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</si>
  <si>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</si>
  <si>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</si>
  <si>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</si>
  <si>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</si>
  <si>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</si>
  <si>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</si>
  <si>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</si>
  <si>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</si>
  <si>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</si>
  <si>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</si>
  <si>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</si>
  <si>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</si>
  <si>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</si>
  <si>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</si>
  <si>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</si>
  <si>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</si>
  <si>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</si>
  <si>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</si>
  <si>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</si>
  <si>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</si>
  <si>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</si>
  <si>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</si>
  <si>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</si>
  <si>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</si>
  <si>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</si>
  <si>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</si>
  <si>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</si>
  <si>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</si>
  <si>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</si>
  <si>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</si>
  <si>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</si>
  <si>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</si>
  <si>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</si>
  <si>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</si>
  <si>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</si>
  <si>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</si>
  <si>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</si>
  <si>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</si>
  <si>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</si>
  <si>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</si>
  <si>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</si>
  <si>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</si>
  <si>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</si>
  <si>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</si>
  <si>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</si>
  <si>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</si>
  <si>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</si>
  <si>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</si>
  <si>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</si>
  <si>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</si>
  <si>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</si>
  <si>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</si>
  <si>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</si>
  <si>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</si>
  <si>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</si>
  <si>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</si>
  <si>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</si>
  <si>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</si>
  <si>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</si>
  <si>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</si>
  <si>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</si>
  <si>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</si>
  <si>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</si>
  <si>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</si>
  <si>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</si>
  <si>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</si>
  <si>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</si>
  <si>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</si>
  <si>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</si>
  <si>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</si>
  <si>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</si>
  <si>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</si>
  <si>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</si>
  <si>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</si>
  <si>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</si>
  <si>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</si>
  <si>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</si>
  <si>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</si>
  <si>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</si>
  <si>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</si>
  <si>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</si>
  <si>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</si>
  <si>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</si>
  <si>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</si>
  <si>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</si>
  <si>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</si>
  <si>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</si>
  <si>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</si>
  <si>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</si>
  <si>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</si>
  <si>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</si>
  <si>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</si>
  <si>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</si>
  <si>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</si>
  <si>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</si>
  <si>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</si>
  <si>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</si>
  <si>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</si>
  <si>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</si>
  <si>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</si>
  <si>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</si>
  <si>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</si>
  <si>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</si>
  <si>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</si>
  <si>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</si>
  <si>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</si>
  <si>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</si>
  <si>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</si>
  <si>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</si>
  <si>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</si>
  <si>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</si>
  <si>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</si>
  <si>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</si>
  <si>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</si>
  <si>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</si>
  <si>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</si>
  <si>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</si>
  <si>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</si>
  <si>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</si>
  <si>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</si>
  <si>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</si>
  <si>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</si>
  <si>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</si>
  <si>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</si>
  <si>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</si>
  <si>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</si>
  <si>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</si>
  <si>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</si>
  <si>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</si>
  <si>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</si>
  <si>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</si>
  <si>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</si>
  <si>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</si>
  <si>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</si>
  <si>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</si>
  <si>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</si>
  <si>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</si>
  <si>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</si>
  <si>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</si>
  <si>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</si>
  <si>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</si>
  <si>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</si>
  <si>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</si>
  <si>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</si>
  <si>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</si>
  <si>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</si>
  <si>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</si>
  <si>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</si>
  <si>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</si>
  <si>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</si>
  <si>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</si>
  <si>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</si>
  <si>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</si>
  <si>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</si>
  <si>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</si>
  <si>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</si>
  <si>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</si>
  <si>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</si>
  <si>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</si>
  <si>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</si>
  <si>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</si>
  <si>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</si>
  <si>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</si>
  <si>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</si>
  <si>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</si>
  <si>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</si>
  <si>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</si>
  <si>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</si>
  <si>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</si>
  <si>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</si>
  <si>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</si>
  <si>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</si>
  <si>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</si>
  <si>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</si>
  <si>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</si>
  <si>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</si>
  <si>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</si>
  <si>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</si>
  <si>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</si>
  <si>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</si>
  <si>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</si>
  <si>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</si>
  <si>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</si>
  <si>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</si>
  <si>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</si>
  <si>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</si>
  <si>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</si>
  <si>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</si>
  <si>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</si>
  <si>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</si>
  <si>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</si>
  <si>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</si>
  <si>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</si>
  <si>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</si>
  <si>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</si>
  <si>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</si>
  <si>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</si>
  <si>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</si>
  <si>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</si>
  <si>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</si>
  <si>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</si>
  <si>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</si>
  <si>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</si>
  <si>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</si>
  <si>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</si>
  <si>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</si>
  <si>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</si>
  <si>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</si>
  <si>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</si>
  <si>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</si>
  <si>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</si>
  <si>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</si>
  <si>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</si>
  <si>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</si>
  <si>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</si>
  <si>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</si>
  <si>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</si>
  <si>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</si>
  <si>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</si>
  <si>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</si>
  <si>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</si>
  <si>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</si>
  <si>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</si>
  <si>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</si>
  <si>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</si>
  <si>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</si>
  <si>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</si>
  <si>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</si>
  <si>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</si>
  <si>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</si>
  <si>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</si>
  <si>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</si>
  <si>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</si>
  <si>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</si>
  <si>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</si>
  <si>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</si>
  <si>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</si>
  <si>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</si>
  <si>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</si>
  <si>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</si>
  <si>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</si>
  <si>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</si>
  <si>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</si>
  <si>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</si>
  <si>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</si>
  <si>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</si>
  <si>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</si>
  <si>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</si>
  <si>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</si>
  <si>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</si>
  <si>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</si>
  <si>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</si>
  <si>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</si>
  <si>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</si>
  <si>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</si>
  <si>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</si>
  <si>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</si>
  <si>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</si>
  <si>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</si>
  <si>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</si>
  <si>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</si>
  <si>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</si>
  <si>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</si>
  <si>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</si>
  <si>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</si>
  <si>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</si>
  <si>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</si>
  <si>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</si>
  <si>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</si>
  <si>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</si>
  <si>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</si>
  <si>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</si>
  <si>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</si>
  <si>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</si>
  <si>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</si>
  <si>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</si>
  <si>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</si>
  <si>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</si>
  <si>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</si>
  <si>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</si>
  <si>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</si>
  <si>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</si>
  <si>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</si>
  <si>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</si>
  <si>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</si>
  <si>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</si>
  <si>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</si>
  <si>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</si>
  <si>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</si>
  <si>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</si>
  <si>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</si>
  <si>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</si>
  <si>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</si>
  <si>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</si>
  <si>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</si>
  <si>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</si>
  <si>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</si>
  <si>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</si>
  <si>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</si>
  <si>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</si>
  <si>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</si>
  <si>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</si>
  <si>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</si>
  <si>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</si>
  <si>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</si>
  <si>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</si>
  <si>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</si>
  <si>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</si>
  <si>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</si>
  <si>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</si>
  <si>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</si>
  <si>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</si>
  <si>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</si>
  <si>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</si>
  <si>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</si>
  <si>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</si>
  <si>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</si>
  <si>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</si>
  <si>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</si>
  <si>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</si>
  <si>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</si>
  <si>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</si>
  <si>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</si>
  <si>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</si>
  <si>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</si>
  <si>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</si>
  <si>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</si>
  <si>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</si>
  <si>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</si>
  <si>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</si>
  <si>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</si>
  <si>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</si>
  <si>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</si>
  <si>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</si>
  <si>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</si>
  <si>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</si>
  <si>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</si>
  <si>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</si>
  <si>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</si>
  <si>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</si>
  <si>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</si>
  <si>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</si>
  <si>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</si>
  <si>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</si>
  <si>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</si>
  <si>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</si>
  <si>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</si>
  <si>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</si>
  <si>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</si>
  <si>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</si>
  <si>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</si>
  <si>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</si>
  <si>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</si>
  <si>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</si>
  <si>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</si>
  <si>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</si>
  <si>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</si>
  <si>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</si>
  <si>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</si>
  <si>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</si>
  <si>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</si>
  <si>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</si>
  <si>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</si>
  <si>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</si>
  <si>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</si>
  <si>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</si>
  <si>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</si>
  <si>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</si>
  <si>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</si>
  <si>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</si>
  <si>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</si>
  <si>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</si>
  <si>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</si>
  <si>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</si>
  <si>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</si>
  <si>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</si>
  <si>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</si>
  <si>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</si>
  <si>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</si>
  <si>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</si>
  <si>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</si>
  <si>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</si>
  <si>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</si>
  <si>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</si>
  <si>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</si>
  <si>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</si>
  <si>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</si>
  <si>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</si>
  <si>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</si>
  <si>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</si>
  <si>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</si>
  <si>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</si>
  <si>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</si>
  <si>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</si>
  <si>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</si>
  <si>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</si>
  <si>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</si>
  <si>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</si>
  <si>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</si>
  <si>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</si>
  <si>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</si>
  <si>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</si>
  <si>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</si>
  <si>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</si>
  <si>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</si>
  <si>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</si>
  <si>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</si>
  <si>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</si>
  <si>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</si>
  <si>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</si>
  <si>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</si>
  <si>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</si>
  <si>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</si>
  <si>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</si>
  <si>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</si>
  <si>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</si>
  <si>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</si>
  <si>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</si>
  <si>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</si>
  <si>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</si>
  <si>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</si>
  <si>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</si>
  <si>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</si>
  <si>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</si>
  <si>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</si>
  <si>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</si>
  <si>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</si>
  <si>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</si>
  <si>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</si>
  <si>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</si>
  <si>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</si>
  <si>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</si>
  <si>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</si>
  <si>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</si>
  <si>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</si>
  <si>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</si>
  <si>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</si>
  <si>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</si>
  <si>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</si>
  <si>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</si>
  <si>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</si>
  <si>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</si>
  <si>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</si>
  <si>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</si>
  <si>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</si>
  <si>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</si>
  <si>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</si>
  <si>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</si>
  <si>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</si>
  <si>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</si>
  <si>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</si>
  <si>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</si>
  <si>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</si>
  <si>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</si>
  <si>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</si>
  <si>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</si>
  <si>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</si>
  <si>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</si>
  <si>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</si>
  <si>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</si>
  <si>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</si>
  <si>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</si>
  <si>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</si>
  <si>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</si>
  <si>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</si>
  <si>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</si>
  <si>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</si>
  <si>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</si>
  <si>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</si>
  <si>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</si>
  <si>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</si>
  <si>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</si>
  <si>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</si>
  <si>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</si>
  <si>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</si>
  <si>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</si>
  <si>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</si>
  <si>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</si>
  <si>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</si>
  <si>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</si>
  <si>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</si>
  <si>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</si>
  <si>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</si>
  <si>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</si>
  <si>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</si>
  <si>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</si>
  <si>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</si>
  <si>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</si>
  <si>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</si>
  <si>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</si>
  <si>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</si>
  <si>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</si>
  <si>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</si>
  <si>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</si>
  <si>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</si>
  <si>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</si>
  <si>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</si>
  <si>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</si>
  <si>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</si>
  <si>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</si>
  <si>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</si>
  <si>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</si>
  <si>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</si>
  <si>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</si>
  <si>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</si>
  <si>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</si>
  <si>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</si>
  <si>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</si>
  <si>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</si>
  <si>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</si>
  <si>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</si>
  <si>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</si>
  <si>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</si>
  <si>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</si>
  <si>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</si>
  <si>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</si>
  <si>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</si>
  <si>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</si>
  <si>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</si>
  <si>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</si>
  <si>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</si>
  <si>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</si>
  <si>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</si>
  <si>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</si>
  <si>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</si>
  <si>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</si>
  <si>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</si>
  <si>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</si>
  <si>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</si>
  <si>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</si>
  <si>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</si>
  <si>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</si>
  <si>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</si>
  <si>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</si>
  <si>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</si>
  <si>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</si>
  <si>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</si>
  <si>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</si>
  <si>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</si>
  <si>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</si>
  <si>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</si>
  <si>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</si>
  <si>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</si>
  <si>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</si>
  <si>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</si>
  <si>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</si>
  <si>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</si>
  <si>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</si>
  <si>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</si>
  <si>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</si>
  <si>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</si>
  <si>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</si>
  <si>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</si>
  <si>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</si>
  <si>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</si>
  <si>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</si>
  <si>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</si>
  <si>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</si>
  <si>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</si>
  <si>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</si>
  <si>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</si>
  <si>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</si>
  <si>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</si>
  <si>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</si>
  <si>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</si>
  <si>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</si>
  <si>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</si>
  <si>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</si>
  <si>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</si>
  <si>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</si>
  <si>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</si>
  <si>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</si>
  <si>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</si>
  <si>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</si>
  <si>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</si>
  <si>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</si>
  <si>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</si>
  <si>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</si>
  <si>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</si>
  <si>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</si>
  <si>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</si>
  <si>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</si>
  <si>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</si>
  <si>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</si>
  <si>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</si>
  <si>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</si>
  <si>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</si>
  <si>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</si>
  <si>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</si>
  <si>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</si>
  <si>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</si>
  <si>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</si>
  <si>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</si>
  <si>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</si>
  <si>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</si>
  <si>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</si>
  <si>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</si>
  <si>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</si>
  <si>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</si>
  <si>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</si>
  <si>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</si>
  <si>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</si>
  <si>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</si>
  <si>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</si>
  <si>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</si>
  <si>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</si>
  <si>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</si>
  <si>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</si>
  <si>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</si>
  <si>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</si>
  <si>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</si>
  <si>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</si>
  <si>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</si>
  <si>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</si>
  <si>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</si>
  <si>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</si>
  <si>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</si>
  <si>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</si>
  <si>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</si>
  <si>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</si>
  <si>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</si>
  <si>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</si>
  <si>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</si>
  <si>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</si>
  <si>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</si>
  <si>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</si>
  <si>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</si>
  <si>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</si>
  <si>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</si>
  <si>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</si>
  <si>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</si>
  <si>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</si>
  <si>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</si>
  <si>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</si>
  <si>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</si>
  <si>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</si>
  <si>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</si>
  <si>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</si>
  <si>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</si>
  <si>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</si>
  <si>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</si>
  <si>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</si>
  <si>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</si>
  <si>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</si>
  <si>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</si>
  <si>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</si>
  <si>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</si>
  <si>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</si>
  <si>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</si>
  <si>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</si>
  <si>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</si>
  <si>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</si>
  <si>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</si>
  <si>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</si>
  <si>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</si>
  <si>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</si>
  <si>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</si>
  <si>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</si>
  <si>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</si>
  <si>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</si>
  <si>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</si>
  <si>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</si>
  <si>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</si>
  <si>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</si>
  <si>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</si>
  <si>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</si>
  <si>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</si>
  <si>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</si>
  <si>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</si>
  <si>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</si>
  <si>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</si>
  <si>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</si>
  <si>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</si>
  <si>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</si>
  <si>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</si>
  <si>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</si>
  <si>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</si>
  <si>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</si>
  <si>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</si>
  <si>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</si>
  <si>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</si>
  <si>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</si>
  <si>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</si>
  <si>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</si>
  <si>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</si>
  <si>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</si>
  <si>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</si>
  <si>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</si>
  <si>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</si>
  <si>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</si>
  <si>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</si>
  <si>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</si>
  <si>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</si>
  <si>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</si>
  <si>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</si>
  <si>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</si>
  <si>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</si>
  <si>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</si>
  <si>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</si>
  <si>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</si>
  <si>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</si>
  <si>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</si>
  <si>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</si>
  <si>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</si>
  <si>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</si>
  <si>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</si>
  <si>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</si>
  <si>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</si>
  <si>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</si>
  <si>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</si>
  <si>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11016</t>
  </si>
  <si>
    <t>ESSEN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</si>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</sst>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11016</v>
      </c>
      <c r="B6" s="397"/>
      <c r="C6" s="398"/>
    </row>
    <row r="7" spans="1:7" s="395" customFormat="1" ht="15.75" customHeight="1">
      <c r="A7" s="399" t="str">
        <f>txtMunicipality</f>
        <v>ESSEN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11016</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7107</v>
      </c>
      <c r="C9" s="338">
        <v>7757</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2680</v>
      </c>
    </row>
    <row r="15" spans="1:6">
      <c r="A15" s="1205" t="s">
        <v>184</v>
      </c>
      <c r="B15" s="335">
        <v>407</v>
      </c>
    </row>
    <row r="16" spans="1:6">
      <c r="A16" s="1205" t="s">
        <v>6</v>
      </c>
      <c r="B16" s="335">
        <v>3863</v>
      </c>
    </row>
    <row r="17" spans="1:6">
      <c r="A17" s="1205" t="s">
        <v>7</v>
      </c>
      <c r="B17" s="335">
        <v>250</v>
      </c>
    </row>
    <row r="18" spans="1:6">
      <c r="A18" s="1205" t="s">
        <v>8</v>
      </c>
      <c r="B18" s="335">
        <v>2094</v>
      </c>
    </row>
    <row r="19" spans="1:6">
      <c r="A19" s="1205" t="s">
        <v>9</v>
      </c>
      <c r="B19" s="335">
        <v>2092</v>
      </c>
    </row>
    <row r="20" spans="1:6">
      <c r="A20" s="1205" t="s">
        <v>10</v>
      </c>
      <c r="B20" s="335">
        <v>975</v>
      </c>
    </row>
    <row r="21" spans="1:6">
      <c r="A21" s="1205" t="s">
        <v>11</v>
      </c>
      <c r="B21" s="335">
        <v>7612</v>
      </c>
    </row>
    <row r="22" spans="1:6">
      <c r="A22" s="1205" t="s">
        <v>12</v>
      </c>
      <c r="B22" s="335">
        <v>19232</v>
      </c>
    </row>
    <row r="23" spans="1:6">
      <c r="A23" s="1205" t="s">
        <v>13</v>
      </c>
      <c r="B23" s="335">
        <v>171</v>
      </c>
    </row>
    <row r="24" spans="1:6">
      <c r="A24" s="1205" t="s">
        <v>14</v>
      </c>
      <c r="B24" s="335">
        <v>8</v>
      </c>
    </row>
    <row r="25" spans="1:6">
      <c r="A25" s="1205" t="s">
        <v>15</v>
      </c>
      <c r="B25" s="335">
        <v>1358</v>
      </c>
    </row>
    <row r="26" spans="1:6">
      <c r="A26" s="1205" t="s">
        <v>16</v>
      </c>
      <c r="B26" s="335">
        <v>40</v>
      </c>
    </row>
    <row r="27" spans="1:6">
      <c r="A27" s="1205" t="s">
        <v>17</v>
      </c>
      <c r="B27" s="335">
        <v>15</v>
      </c>
    </row>
    <row r="28" spans="1:6" s="341" customFormat="1">
      <c r="A28" s="1206" t="s">
        <v>18</v>
      </c>
      <c r="B28" s="1206">
        <v>317862</v>
      </c>
    </row>
    <row r="29" spans="1:6">
      <c r="A29" s="1206" t="s">
        <v>873</v>
      </c>
      <c r="B29" s="1206">
        <v>164</v>
      </c>
      <c r="C29" s="341"/>
      <c r="D29" s="341"/>
      <c r="E29" s="341"/>
      <c r="F29" s="341"/>
    </row>
    <row r="30" spans="1:6">
      <c r="A30" s="1201" t="s">
        <v>874</v>
      </c>
      <c r="B30" s="1201">
        <v>34</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4</v>
      </c>
      <c r="F36" s="335">
        <v>14561</v>
      </c>
    </row>
    <row r="37" spans="1:6">
      <c r="A37" s="1205" t="s">
        <v>25</v>
      </c>
      <c r="B37" s="1205" t="s">
        <v>28</v>
      </c>
      <c r="C37" s="335">
        <v>0</v>
      </c>
      <c r="D37" s="335">
        <v>0</v>
      </c>
      <c r="E37" s="335">
        <v>0</v>
      </c>
      <c r="F37" s="335">
        <v>0</v>
      </c>
    </row>
    <row r="38" spans="1:6">
      <c r="A38" s="1205" t="s">
        <v>25</v>
      </c>
      <c r="B38" s="1205" t="s">
        <v>29</v>
      </c>
      <c r="C38" s="335">
        <v>1</v>
      </c>
      <c r="D38" s="335">
        <v>201336.98718351001</v>
      </c>
      <c r="E38" s="335">
        <v>1</v>
      </c>
      <c r="F38" s="335">
        <v>0</v>
      </c>
    </row>
    <row r="39" spans="1:6">
      <c r="A39" s="1205" t="s">
        <v>30</v>
      </c>
      <c r="B39" s="1205" t="s">
        <v>31</v>
      </c>
      <c r="C39" s="335">
        <v>3401</v>
      </c>
      <c r="D39" s="335">
        <v>69798528.715900198</v>
      </c>
      <c r="E39" s="335">
        <v>7375</v>
      </c>
      <c r="F39" s="335">
        <v>36888210</v>
      </c>
    </row>
    <row r="40" spans="1:6">
      <c r="A40" s="1205" t="s">
        <v>30</v>
      </c>
      <c r="B40" s="1205" t="s">
        <v>29</v>
      </c>
      <c r="C40" s="335">
        <v>1</v>
      </c>
      <c r="D40" s="335">
        <v>18667.7683176725</v>
      </c>
      <c r="E40" s="335">
        <v>0</v>
      </c>
      <c r="F40" s="335">
        <v>0</v>
      </c>
    </row>
    <row r="41" spans="1:6">
      <c r="A41" s="1205" t="s">
        <v>32</v>
      </c>
      <c r="B41" s="1205" t="s">
        <v>33</v>
      </c>
      <c r="C41" s="335">
        <v>49</v>
      </c>
      <c r="D41" s="335">
        <v>1259927.7508137899</v>
      </c>
      <c r="E41" s="335">
        <v>136</v>
      </c>
      <c r="F41" s="335">
        <v>18703590</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3</v>
      </c>
      <c r="D44" s="335">
        <v>114242.101694425</v>
      </c>
      <c r="E44" s="335">
        <v>33</v>
      </c>
      <c r="F44" s="335">
        <v>1453841</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6</v>
      </c>
      <c r="F47" s="335">
        <v>1717925</v>
      </c>
    </row>
    <row r="48" spans="1:6">
      <c r="A48" s="1205" t="s">
        <v>32</v>
      </c>
      <c r="B48" s="1205" t="s">
        <v>29</v>
      </c>
      <c r="C48" s="335">
        <v>29</v>
      </c>
      <c r="D48" s="335">
        <v>1578463.7160803699</v>
      </c>
      <c r="E48" s="335">
        <v>5</v>
      </c>
      <c r="F48" s="335">
        <v>51713</v>
      </c>
    </row>
    <row r="49" spans="1:6">
      <c r="A49" s="1205" t="s">
        <v>32</v>
      </c>
      <c r="B49" s="1205" t="s">
        <v>40</v>
      </c>
      <c r="C49" s="335">
        <v>0</v>
      </c>
      <c r="D49" s="335">
        <v>0</v>
      </c>
      <c r="E49" s="335">
        <v>0</v>
      </c>
      <c r="F49" s="335">
        <v>0</v>
      </c>
    </row>
    <row r="50" spans="1:6">
      <c r="A50" s="1205" t="s">
        <v>32</v>
      </c>
      <c r="B50" s="1205" t="s">
        <v>41</v>
      </c>
      <c r="C50" s="335">
        <v>9</v>
      </c>
      <c r="D50" s="335">
        <v>492733.02511634101</v>
      </c>
      <c r="E50" s="335">
        <v>19</v>
      </c>
      <c r="F50" s="335">
        <v>3809509</v>
      </c>
    </row>
    <row r="51" spans="1:6">
      <c r="A51" s="1205" t="s">
        <v>42</v>
      </c>
      <c r="B51" s="1205" t="s">
        <v>43</v>
      </c>
      <c r="C51" s="335">
        <v>0</v>
      </c>
      <c r="D51" s="335">
        <v>0</v>
      </c>
      <c r="E51" s="335">
        <v>114</v>
      </c>
      <c r="F51" s="335">
        <v>2953903</v>
      </c>
    </row>
    <row r="52" spans="1:6">
      <c r="A52" s="1205" t="s">
        <v>42</v>
      </c>
      <c r="B52" s="1205" t="s">
        <v>29</v>
      </c>
      <c r="C52" s="335">
        <v>7</v>
      </c>
      <c r="D52" s="335">
        <v>193917.62155316799</v>
      </c>
      <c r="E52" s="335">
        <v>0</v>
      </c>
      <c r="F52" s="335">
        <v>0</v>
      </c>
    </row>
    <row r="53" spans="1:6">
      <c r="A53" s="1205" t="s">
        <v>44</v>
      </c>
      <c r="B53" s="1205" t="s">
        <v>45</v>
      </c>
      <c r="C53" s="335">
        <v>72</v>
      </c>
      <c r="D53" s="335">
        <v>2542413.31114747</v>
      </c>
      <c r="E53" s="335">
        <v>0</v>
      </c>
      <c r="F53" s="335">
        <v>0</v>
      </c>
    </row>
    <row r="54" spans="1:6">
      <c r="A54" s="1205" t="s">
        <v>46</v>
      </c>
      <c r="B54" s="1205" t="s">
        <v>47</v>
      </c>
      <c r="C54" s="335">
        <v>0</v>
      </c>
      <c r="D54" s="335">
        <v>0</v>
      </c>
      <c r="E54" s="335">
        <v>3</v>
      </c>
      <c r="F54" s="335">
        <v>1387141</v>
      </c>
    </row>
    <row r="55" spans="1:6">
      <c r="A55" s="1205" t="s">
        <v>46</v>
      </c>
      <c r="B55" s="1205" t="s">
        <v>29</v>
      </c>
      <c r="C55" s="335">
        <v>0</v>
      </c>
      <c r="D55" s="335">
        <v>0</v>
      </c>
      <c r="E55" s="335">
        <v>0</v>
      </c>
      <c r="F55" s="335">
        <v>0</v>
      </c>
    </row>
    <row r="56" spans="1:6">
      <c r="A56" s="1205" t="s">
        <v>48</v>
      </c>
      <c r="B56" s="1205" t="s">
        <v>29</v>
      </c>
      <c r="C56" s="335">
        <v>0</v>
      </c>
      <c r="D56" s="335">
        <v>0</v>
      </c>
      <c r="E56" s="335">
        <v>79</v>
      </c>
      <c r="F56" s="335">
        <v>605675</v>
      </c>
    </row>
    <row r="57" spans="1:6">
      <c r="A57" s="1205" t="s">
        <v>49</v>
      </c>
      <c r="B57" s="1205" t="s">
        <v>50</v>
      </c>
      <c r="C57" s="335">
        <v>31</v>
      </c>
      <c r="D57" s="335">
        <v>3111581.31881609</v>
      </c>
      <c r="E57" s="335">
        <v>78</v>
      </c>
      <c r="F57" s="335">
        <v>2247336</v>
      </c>
    </row>
    <row r="58" spans="1:6">
      <c r="A58" s="1205" t="s">
        <v>49</v>
      </c>
      <c r="B58" s="1205" t="s">
        <v>51</v>
      </c>
      <c r="C58" s="335">
        <v>3</v>
      </c>
      <c r="D58" s="335">
        <v>67757.975037336306</v>
      </c>
      <c r="E58" s="335">
        <v>22</v>
      </c>
      <c r="F58" s="335">
        <v>814788</v>
      </c>
    </row>
    <row r="59" spans="1:6">
      <c r="A59" s="1205" t="s">
        <v>49</v>
      </c>
      <c r="B59" s="1205" t="s">
        <v>52</v>
      </c>
      <c r="C59" s="335">
        <v>25</v>
      </c>
      <c r="D59" s="335">
        <v>1769969.2472224501</v>
      </c>
      <c r="E59" s="335">
        <v>155</v>
      </c>
      <c r="F59" s="335">
        <v>4634573</v>
      </c>
    </row>
    <row r="60" spans="1:6">
      <c r="A60" s="1205" t="s">
        <v>49</v>
      </c>
      <c r="B60" s="1205" t="s">
        <v>53</v>
      </c>
      <c r="C60" s="335">
        <v>29</v>
      </c>
      <c r="D60" s="335">
        <v>1416684.7777914701</v>
      </c>
      <c r="E60" s="335">
        <v>58</v>
      </c>
      <c r="F60" s="335">
        <v>1505136</v>
      </c>
    </row>
    <row r="61" spans="1:6">
      <c r="A61" s="1205" t="s">
        <v>49</v>
      </c>
      <c r="B61" s="1205" t="s">
        <v>54</v>
      </c>
      <c r="C61" s="335">
        <v>69</v>
      </c>
      <c r="D61" s="335">
        <v>2010507.8223861901</v>
      </c>
      <c r="E61" s="335">
        <v>278</v>
      </c>
      <c r="F61" s="335">
        <v>3249132</v>
      </c>
    </row>
    <row r="62" spans="1:6">
      <c r="A62" s="1205" t="s">
        <v>49</v>
      </c>
      <c r="B62" s="1205" t="s">
        <v>55</v>
      </c>
      <c r="C62" s="335">
        <v>8</v>
      </c>
      <c r="D62" s="335">
        <v>1746574.8911075401</v>
      </c>
      <c r="E62" s="335">
        <v>22</v>
      </c>
      <c r="F62" s="335">
        <v>675759</v>
      </c>
    </row>
    <row r="63" spans="1:6">
      <c r="A63" s="1205" t="s">
        <v>49</v>
      </c>
      <c r="B63" s="1205" t="s">
        <v>29</v>
      </c>
      <c r="C63" s="335">
        <v>89</v>
      </c>
      <c r="D63" s="335">
        <v>4750959.47725832</v>
      </c>
      <c r="E63" s="335">
        <v>0</v>
      </c>
      <c r="F63" s="335">
        <v>0</v>
      </c>
    </row>
    <row r="64" spans="1:6">
      <c r="A64" s="1205" t="s">
        <v>56</v>
      </c>
      <c r="B64" s="1205" t="s">
        <v>57</v>
      </c>
      <c r="C64" s="335">
        <v>0</v>
      </c>
      <c r="D64" s="335">
        <v>0</v>
      </c>
      <c r="E64" s="335">
        <v>0</v>
      </c>
      <c r="F64" s="335">
        <v>0</v>
      </c>
    </row>
    <row r="65" spans="1:6">
      <c r="A65" s="1205" t="s">
        <v>56</v>
      </c>
      <c r="B65" s="1205" t="s">
        <v>29</v>
      </c>
      <c r="C65" s="335">
        <v>2</v>
      </c>
      <c r="D65" s="335">
        <v>77684.789806007495</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11</v>
      </c>
      <c r="F68" s="335">
        <v>78072</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33371274</v>
      </c>
      <c r="E73" s="335">
        <v>34310690.543950804</v>
      </c>
    </row>
    <row r="74" spans="1:6">
      <c r="A74" s="1205" t="s">
        <v>64</v>
      </c>
      <c r="B74" s="1205" t="s">
        <v>772</v>
      </c>
      <c r="C74" s="1216" t="s">
        <v>766</v>
      </c>
      <c r="D74" s="335">
        <v>1583372.0995573602</v>
      </c>
      <c r="E74" s="335">
        <v>1662739.7669202674</v>
      </c>
    </row>
    <row r="75" spans="1:6">
      <c r="A75" s="1205" t="s">
        <v>65</v>
      </c>
      <c r="B75" s="1205" t="s">
        <v>771</v>
      </c>
      <c r="C75" s="1216" t="s">
        <v>767</v>
      </c>
      <c r="D75" s="335">
        <v>33534649</v>
      </c>
      <c r="E75" s="335">
        <v>34245430.859904625</v>
      </c>
    </row>
    <row r="76" spans="1:6">
      <c r="A76" s="1205" t="s">
        <v>65</v>
      </c>
      <c r="B76" s="1205" t="s">
        <v>772</v>
      </c>
      <c r="C76" s="1216" t="s">
        <v>768</v>
      </c>
      <c r="D76" s="335">
        <v>979302.09955736005</v>
      </c>
      <c r="E76" s="335">
        <v>1024844.4277034677</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168877.80088527987</v>
      </c>
      <c r="C83" s="335">
        <v>158971.67635693346</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3393.7085912764041</v>
      </c>
    </row>
    <row r="91" spans="1:6">
      <c r="A91" s="1205" t="s">
        <v>68</v>
      </c>
      <c r="B91" s="335">
        <v>2883.1520246138975</v>
      </c>
    </row>
    <row r="92" spans="1:6">
      <c r="A92" s="1201" t="s">
        <v>69</v>
      </c>
      <c r="B92" s="338">
        <v>1577.5999091375347</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1669</v>
      </c>
    </row>
    <row r="98" spans="1:6">
      <c r="A98" s="1205" t="s">
        <v>72</v>
      </c>
      <c r="B98" s="335">
        <v>6</v>
      </c>
    </row>
    <row r="99" spans="1:6">
      <c r="A99" s="1205" t="s">
        <v>73</v>
      </c>
      <c r="B99" s="335">
        <v>290</v>
      </c>
    </row>
    <row r="100" spans="1:6">
      <c r="A100" s="1205" t="s">
        <v>74</v>
      </c>
      <c r="B100" s="335">
        <v>730</v>
      </c>
    </row>
    <row r="101" spans="1:6">
      <c r="A101" s="1205" t="s">
        <v>75</v>
      </c>
      <c r="B101" s="335">
        <v>169</v>
      </c>
    </row>
    <row r="102" spans="1:6">
      <c r="A102" s="1205" t="s">
        <v>76</v>
      </c>
      <c r="B102" s="335">
        <v>69</v>
      </c>
    </row>
    <row r="103" spans="1:6">
      <c r="A103" s="1205" t="s">
        <v>77</v>
      </c>
      <c r="B103" s="335">
        <v>176</v>
      </c>
    </row>
    <row r="104" spans="1:6">
      <c r="A104" s="1205" t="s">
        <v>78</v>
      </c>
      <c r="B104" s="335">
        <v>2931</v>
      </c>
    </row>
    <row r="105" spans="1:6">
      <c r="A105" s="1201" t="s">
        <v>79</v>
      </c>
      <c r="B105" s="1201">
        <v>8</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7</v>
      </c>
      <c r="C123" s="335">
        <v>8</v>
      </c>
    </row>
    <row r="124" spans="1:6">
      <c r="A124" s="1201" t="s">
        <v>89</v>
      </c>
      <c r="B124" s="335">
        <v>0</v>
      </c>
      <c r="C124" s="335">
        <v>1</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36</v>
      </c>
    </row>
    <row r="130" spans="1:6">
      <c r="A130" s="1205" t="s">
        <v>295</v>
      </c>
      <c r="B130" s="335">
        <v>0</v>
      </c>
    </row>
    <row r="131" spans="1:6">
      <c r="A131" s="1205" t="s">
        <v>296</v>
      </c>
      <c r="B131" s="335">
        <v>0</v>
      </c>
    </row>
    <row r="132" spans="1:6">
      <c r="A132" s="1201" t="s">
        <v>297</v>
      </c>
      <c r="B132" s="338">
        <v>8</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82977.11572715189</v>
      </c>
      <c r="C3" s="44" t="s">
        <v>170</v>
      </c>
      <c r="D3" s="44"/>
      <c r="E3" s="157"/>
      <c r="F3" s="44"/>
      <c r="G3" s="44"/>
      <c r="H3" s="44"/>
      <c r="I3" s="44"/>
      <c r="J3" s="44"/>
      <c r="K3" s="97"/>
    </row>
    <row r="4" spans="1:11">
      <c r="A4" s="365" t="s">
        <v>171</v>
      </c>
      <c r="B4" s="50">
        <f>IF(ISERROR('SEAP template'!B69),0,'SEAP template'!B69)</f>
        <v>7854.4605250278364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0.20008054816295393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1387.1410000000001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1387.1410000000001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0.20008054816295393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277.53993165930808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36888.21</v>
      </c>
      <c r="C5" s="18">
        <f>IF(ISERROR('Eigen informatie GS &amp; warmtenet'!B57),0,'Eigen informatie GS &amp; warmtenet'!B57)</f>
        <v>0</v>
      </c>
      <c r="D5" s="31">
        <f>(SUM(HH_hh_gas_kWh,HH_rest_gas_kWh)/1000)*0.902</f>
        <v>62975.111228764523</v>
      </c>
      <c r="E5" s="18">
        <f>B46*B57</f>
        <v>12447.895583909922</v>
      </c>
      <c r="F5" s="18">
        <f>B51*B62</f>
        <v>27069.30332637933</v>
      </c>
      <c r="G5" s="19"/>
      <c r="H5" s="18"/>
      <c r="I5" s="18"/>
      <c r="J5" s="18">
        <f>B50*B61+C50*C61</f>
        <v>85.203950818076862</v>
      </c>
      <c r="K5" s="18"/>
      <c r="L5" s="18"/>
      <c r="M5" s="18"/>
      <c r="N5" s="18">
        <f>B48*B59+C48*C59</f>
        <v>23558.057524002255</v>
      </c>
      <c r="O5" s="18">
        <f>B69*B70*B71</f>
        <v>70.350000000000009</v>
      </c>
      <c r="P5" s="18">
        <f>B77*B78*B79/1000-B77*B78*B79/1000/B80</f>
        <v>286</v>
      </c>
    </row>
    <row r="6" spans="1:16">
      <c r="A6" s="17" t="s">
        <v>639</v>
      </c>
      <c r="B6" s="831">
        <f>kWh_PV_kleiner_dan_10kW</f>
        <v>2883.1520246138975</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39771.362024613896</v>
      </c>
      <c r="C8" s="22">
        <f>C5</f>
        <v>0</v>
      </c>
      <c r="D8" s="22">
        <f>D5</f>
        <v>62975.111228764523</v>
      </c>
      <c r="E8" s="22">
        <f>E5</f>
        <v>12447.895583909922</v>
      </c>
      <c r="F8" s="22">
        <f>F5</f>
        <v>27069.30332637933</v>
      </c>
      <c r="G8" s="22"/>
      <c r="H8" s="22"/>
      <c r="I8" s="22"/>
      <c r="J8" s="22">
        <f>J5</f>
        <v>85.203950818076862</v>
      </c>
      <c r="K8" s="22"/>
      <c r="L8" s="22">
        <f>L5</f>
        <v>0</v>
      </c>
      <c r="M8" s="22">
        <f>M5</f>
        <v>0</v>
      </c>
      <c r="N8" s="22">
        <f>N5</f>
        <v>23558.057524002255</v>
      </c>
      <c r="O8" s="22">
        <f>O5</f>
        <v>70.350000000000009</v>
      </c>
      <c r="P8" s="22">
        <f>P5</f>
        <v>286</v>
      </c>
    </row>
    <row r="9" spans="1:16">
      <c r="B9" s="20"/>
      <c r="C9" s="20"/>
      <c r="D9" s="262"/>
      <c r="E9" s="20"/>
      <c r="F9" s="20"/>
      <c r="G9" s="20"/>
      <c r="H9" s="20"/>
      <c r="I9" s="20"/>
      <c r="J9" s="20"/>
      <c r="K9" s="20"/>
      <c r="L9" s="20"/>
      <c r="M9" s="20"/>
      <c r="N9" s="20"/>
      <c r="O9" s="20"/>
      <c r="P9" s="20"/>
    </row>
    <row r="10" spans="1:16">
      <c r="A10" s="25" t="s">
        <v>214</v>
      </c>
      <c r="B10" s="26">
        <f ca="1">'EF ele_warmte'!B12</f>
        <v>0.20008054816295393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7957.4759150720374</v>
      </c>
      <c r="C12" s="24">
        <f ca="1">C10*C8</f>
        <v>0</v>
      </c>
      <c r="D12" s="24">
        <f>D8*D10</f>
        <v>12720.972468210435</v>
      </c>
      <c r="E12" s="24">
        <f>E10*E8</f>
        <v>2825.6722975475523</v>
      </c>
      <c r="F12" s="24">
        <f>F10*F8</f>
        <v>7227.5039881432813</v>
      </c>
      <c r="G12" s="24"/>
      <c r="H12" s="24"/>
      <c r="I12" s="24"/>
      <c r="J12" s="24">
        <f>J10*J8</f>
        <v>30.162198589599207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1669</v>
      </c>
      <c r="C18" s="169" t="s">
        <v>111</v>
      </c>
      <c r="D18" s="231"/>
      <c r="E18" s="16"/>
    </row>
    <row r="19" spans="1:7">
      <c r="A19" s="174" t="s">
        <v>72</v>
      </c>
      <c r="B19" s="38">
        <f>aantalw2001_ander</f>
        <v>6</v>
      </c>
      <c r="C19" s="169" t="s">
        <v>111</v>
      </c>
      <c r="D19" s="232"/>
      <c r="E19" s="16"/>
    </row>
    <row r="20" spans="1:7">
      <c r="A20" s="174" t="s">
        <v>73</v>
      </c>
      <c r="B20" s="38">
        <f>aantalw2001_propaan</f>
        <v>290</v>
      </c>
      <c r="C20" s="170">
        <f>IF(ISERROR(B20/SUM($B$20,$B$21,$B$22)*100),0,B20/SUM($B$20,$B$21,$B$22)*100)</f>
        <v>24.390243902439025</v>
      </c>
      <c r="D20" s="232"/>
      <c r="E20" s="16"/>
    </row>
    <row r="21" spans="1:7">
      <c r="A21" s="174" t="s">
        <v>74</v>
      </c>
      <c r="B21" s="38">
        <f>aantalw2001_elektriciteit</f>
        <v>730</v>
      </c>
      <c r="C21" s="170">
        <f>IF(ISERROR(B21/SUM($B$20,$B$21,$B$22)*100),0,B21/SUM($B$20,$B$21,$B$22)*100)</f>
        <v>61.396131202691336</v>
      </c>
      <c r="D21" s="232"/>
      <c r="E21" s="16"/>
    </row>
    <row r="22" spans="1:7">
      <c r="A22" s="174" t="s">
        <v>75</v>
      </c>
      <c r="B22" s="38">
        <f>aantalw2001_hout</f>
        <v>169</v>
      </c>
      <c r="C22" s="170">
        <f>IF(ISERROR(B22/SUM($B$20,$B$21,$B$22)*100),0,B22/SUM($B$20,$B$21,$B$22)*100)</f>
        <v>14.213624894869639</v>
      </c>
      <c r="D22" s="232"/>
      <c r="E22" s="16"/>
    </row>
    <row r="23" spans="1:7">
      <c r="A23" s="174" t="s">
        <v>76</v>
      </c>
      <c r="B23" s="38">
        <f>aantalw2001_niet_gespec</f>
        <v>69</v>
      </c>
      <c r="C23" s="169" t="s">
        <v>111</v>
      </c>
      <c r="D23" s="231"/>
      <c r="E23" s="16"/>
    </row>
    <row r="24" spans="1:7">
      <c r="A24" s="174" t="s">
        <v>77</v>
      </c>
      <c r="B24" s="38">
        <f>aantalw2001_steenkool</f>
        <v>176</v>
      </c>
      <c r="C24" s="169" t="s">
        <v>111</v>
      </c>
      <c r="D24" s="232"/>
      <c r="E24" s="16"/>
    </row>
    <row r="25" spans="1:7">
      <c r="A25" s="174" t="s">
        <v>78</v>
      </c>
      <c r="B25" s="38">
        <f>aantalw2001_stookolie</f>
        <v>2931</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7107</v>
      </c>
      <c r="C28" s="37"/>
      <c r="D28" s="231"/>
    </row>
    <row r="29" spans="1:7" s="16" customFormat="1">
      <c r="A29" s="233" t="s">
        <v>666</v>
      </c>
      <c r="B29" s="38">
        <f>SUM(HH_hh_gas_aantal,HH_rest_gas_aantal)</f>
        <v>3402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3402</v>
      </c>
      <c r="C32" s="170">
        <f>IF(ISERROR(B32/SUM($B$32,$B$34,$B$35,$B$36,$B$38,$B$39)*100),0,B32/SUM($B$32,$B$34,$B$35,$B$36,$B$38,$B$39)*100)</f>
        <v>47.969543147208121</v>
      </c>
      <c r="D32" s="236"/>
      <c r="G32" s="16"/>
    </row>
    <row r="33" spans="1:7">
      <c r="A33" s="174" t="s">
        <v>72</v>
      </c>
      <c r="B33" s="35" t="s">
        <v>111</v>
      </c>
      <c r="C33" s="170"/>
      <c r="D33" s="236"/>
      <c r="G33" s="16"/>
    </row>
    <row r="34" spans="1:7">
      <c r="A34" s="174" t="s">
        <v>73</v>
      </c>
      <c r="B34" s="34">
        <f>IF((($B$28-$B$32-$B$39-$B$77-$B$38)*C20/100)&lt;0,0,($B$28-$B$32-$B$39-$B$77-$B$38)*C20/100)</f>
        <v>564.8780487804878</v>
      </c>
      <c r="C34" s="170">
        <f>IF(ISERROR(B34/SUM($B$32,$B$34,$B$35,$B$36,$B$38,$B$39)*100),0,B34/SUM($B$32,$B$34,$B$35,$B$36,$B$38,$B$39)*100)</f>
        <v>7.9650035079030994</v>
      </c>
      <c r="D34" s="236"/>
      <c r="G34" s="16"/>
    </row>
    <row r="35" spans="1:7">
      <c r="A35" s="174" t="s">
        <v>74</v>
      </c>
      <c r="B35" s="34">
        <f>IF((($B$28-$B$32-$B$39-$B$77-$B$38)*C21/100)&lt;0,0,($B$28-$B$32-$B$39-$B$77-$B$38)*C21/100)</f>
        <v>1421.9343986543315</v>
      </c>
      <c r="C35" s="170">
        <f>IF(ISERROR(B35/SUM($B$32,$B$34,$B$35,$B$36,$B$38,$B$39)*100),0,B35/SUM($B$32,$B$34,$B$35,$B$36,$B$38,$B$39)*100)</f>
        <v>20.049836416445736</v>
      </c>
      <c r="D35" s="236"/>
      <c r="G35" s="16"/>
    </row>
    <row r="36" spans="1:7">
      <c r="A36" s="174" t="s">
        <v>75</v>
      </c>
      <c r="B36" s="34">
        <f>IF((($B$28-$B$32-$B$39-$B$77-$B$38)*C22/100)&lt;0,0,($B$28-$B$32-$B$39-$B$77-$B$38)*C22/100)</f>
        <v>329.18755256518079</v>
      </c>
      <c r="C36" s="170">
        <f>IF(ISERROR(B36/SUM($B$32,$B$34,$B$35,$B$36,$B$38,$B$39)*100),0,B36/SUM($B$32,$B$34,$B$35,$B$36,$B$38,$B$39)*100)</f>
        <v>4.6416744580538749</v>
      </c>
      <c r="D36" s="236"/>
      <c r="G36" s="16"/>
    </row>
    <row r="37" spans="1:7">
      <c r="A37" s="174" t="s">
        <v>76</v>
      </c>
      <c r="B37" s="35" t="s">
        <v>111</v>
      </c>
      <c r="C37" s="170"/>
      <c r="D37" s="176"/>
      <c r="G37" s="16"/>
    </row>
    <row r="38" spans="1:7">
      <c r="A38" s="174" t="s">
        <v>77</v>
      </c>
      <c r="B38" s="34">
        <f>IF((B24-(B29-B18)*0.1)&lt;0,0,B24-(B29-B18)*0.1)</f>
        <v>2.6999999999999886</v>
      </c>
      <c r="C38" s="170">
        <f>IF(ISERROR(B38/SUM($B$32,$B$34,$B$35,$B$36,$B$38,$B$39)*100),0,B38/SUM($B$32,$B$34,$B$35,$B$36,$B$38,$B$39)*100)</f>
        <v>3.8071065989847559E-2</v>
      </c>
      <c r="D38" s="237"/>
      <c r="G38" s="16"/>
    </row>
    <row r="39" spans="1:7">
      <c r="A39" s="174" t="s">
        <v>78</v>
      </c>
      <c r="B39" s="34">
        <f>IF((B25-(B29-B18))&lt;0,0,B25-(B29-B18)*0.9)</f>
        <v>1371.3</v>
      </c>
      <c r="C39" s="170">
        <f>IF(ISERROR(B39/SUM($B$32,$B$34,$B$35,$B$36,$B$38,$B$39)*100),0,B39/SUM($B$32,$B$34,$B$35,$B$36,$B$38,$B$39)*100)</f>
        <v>19.33587140439932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3402</v>
      </c>
      <c r="C44" s="35" t="s">
        <v>111</v>
      </c>
      <c r="D44" s="177"/>
    </row>
    <row r="45" spans="1:7">
      <c r="A45" s="174" t="s">
        <v>72</v>
      </c>
      <c r="B45" s="34" t="str">
        <f t="shared" si="0"/>
        <v>-</v>
      </c>
      <c r="C45" s="35" t="s">
        <v>111</v>
      </c>
      <c r="D45" s="177"/>
    </row>
    <row r="46" spans="1:7">
      <c r="A46" s="174" t="s">
        <v>73</v>
      </c>
      <c r="B46" s="34">
        <f t="shared" si="0"/>
        <v>564.8780487804878</v>
      </c>
      <c r="C46" s="35" t="s">
        <v>111</v>
      </c>
      <c r="D46" s="177"/>
    </row>
    <row r="47" spans="1:7">
      <c r="A47" s="174" t="s">
        <v>74</v>
      </c>
      <c r="B47" s="34">
        <f t="shared" si="0"/>
        <v>1421.9343986543315</v>
      </c>
      <c r="C47" s="35" t="s">
        <v>111</v>
      </c>
      <c r="D47" s="177"/>
    </row>
    <row r="48" spans="1:7">
      <c r="A48" s="174" t="s">
        <v>75</v>
      </c>
      <c r="B48" s="34">
        <f t="shared" si="0"/>
        <v>329.18755256518079</v>
      </c>
      <c r="C48" s="34">
        <f>B48*10</f>
        <v>3291.8755256518079</v>
      </c>
      <c r="D48" s="237"/>
    </row>
    <row r="49" spans="1:6">
      <c r="A49" s="174" t="s">
        <v>76</v>
      </c>
      <c r="B49" s="34" t="str">
        <f t="shared" si="0"/>
        <v>-</v>
      </c>
      <c r="C49" s="35" t="s">
        <v>111</v>
      </c>
      <c r="D49" s="237"/>
    </row>
    <row r="50" spans="1:6">
      <c r="A50" s="174" t="s">
        <v>77</v>
      </c>
      <c r="B50" s="34">
        <f t="shared" si="0"/>
        <v>2.6999999999999886</v>
      </c>
      <c r="C50" s="34">
        <f>B50*2</f>
        <v>5.3999999999999773</v>
      </c>
      <c r="D50" s="237"/>
    </row>
    <row r="51" spans="1:6">
      <c r="A51" s="174" t="s">
        <v>78</v>
      </c>
      <c r="B51" s="34">
        <f t="shared" si="0"/>
        <v>1371.3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13126.724</v>
      </c>
      <c r="C5" s="18">
        <f>IF(ISERROR('Eigen informatie GS &amp; warmtenet'!B58),0,'Eigen informatie GS &amp; warmtenet'!B58)</f>
        <v>0</v>
      </c>
      <c r="D5" s="31">
        <f>SUM(D6:D12)</f>
        <v>13416.380029676695</v>
      </c>
      <c r="E5" s="18">
        <f>SUM(E6:E12)</f>
        <v>128.00532429435134</v>
      </c>
      <c r="F5" s="18">
        <f>SUM(F6:F12)</f>
        <v>2872.5933813050988</v>
      </c>
      <c r="G5" s="19"/>
      <c r="H5" s="18"/>
      <c r="I5" s="18"/>
      <c r="J5" s="18">
        <f>SUM(J6:J12)</f>
        <v>0</v>
      </c>
      <c r="K5" s="18"/>
      <c r="L5" s="18"/>
      <c r="M5" s="18"/>
      <c r="N5" s="18">
        <f>SUM(N6:N12)</f>
        <v>1329.4977509153248</v>
      </c>
      <c r="O5" s="18">
        <f>B38*B39*B40</f>
        <v>0</v>
      </c>
      <c r="P5" s="18">
        <f>B46*B47*B48/1000-B46*B47*B48/1000/B49</f>
        <v>0</v>
      </c>
      <c r="R5" s="33"/>
    </row>
    <row r="6" spans="1:18">
      <c r="A6" s="33" t="s">
        <v>54</v>
      </c>
      <c r="B6" s="38">
        <f>B26</f>
        <v>3249.1320000000001</v>
      </c>
      <c r="C6" s="34"/>
      <c r="D6" s="38">
        <f>IF(ISERROR(TER_kantoor_gas_kWh/1000),0,TER_kantoor_gas_kWh/1000)*0.902</f>
        <v>1813.4780557923436</v>
      </c>
      <c r="E6" s="34">
        <f>$C$26*'E Balans VL '!I12/100/3.6*1000000</f>
        <v>5.3324841325865462</v>
      </c>
      <c r="F6" s="34">
        <f>$C$26*('E Balans VL '!L12+'E Balans VL '!N12)/100/3.6*1000000</f>
        <v>382.99621487550974</v>
      </c>
      <c r="G6" s="35"/>
      <c r="H6" s="34"/>
      <c r="I6" s="34"/>
      <c r="J6" s="34">
        <f>$C$26*('E Balans VL '!D12+'E Balans VL '!E12)/100/3.6*1000000</f>
        <v>0</v>
      </c>
      <c r="K6" s="34"/>
      <c r="L6" s="34"/>
      <c r="M6" s="34"/>
      <c r="N6" s="34">
        <f>$C$26*'E Balans VL '!Y12/100/3.6*1000000</f>
        <v>0.65647173470037645</v>
      </c>
      <c r="O6" s="34"/>
      <c r="P6" s="34"/>
      <c r="R6" s="33"/>
    </row>
    <row r="7" spans="1:18">
      <c r="A7" s="33" t="s">
        <v>53</v>
      </c>
      <c r="B7" s="38">
        <f t="shared" ref="B7:B12" si="0">B27</f>
        <v>1505.136</v>
      </c>
      <c r="C7" s="34"/>
      <c r="D7" s="38">
        <f>IF(ISERROR(TER_horeca_gas_kWh/1000),0,TER_horeca_gas_kWh/1000)*0.902</f>
        <v>1277.8496695679059</v>
      </c>
      <c r="E7" s="34">
        <f>$C$27*'E Balans VL '!I9/100/3.6*1000000</f>
        <v>78.105667002836782</v>
      </c>
      <c r="F7" s="34">
        <f>$C$27*('E Balans VL '!L9+'E Balans VL '!N9)/100/3.6*1000000</f>
        <v>343.47312733209441</v>
      </c>
      <c r="G7" s="35"/>
      <c r="H7" s="34"/>
      <c r="I7" s="34"/>
      <c r="J7" s="34">
        <f>$C$27*('E Balans VL '!D9+'E Balans VL '!E9)/100/3.6*1000000</f>
        <v>0</v>
      </c>
      <c r="K7" s="34"/>
      <c r="L7" s="34"/>
      <c r="M7" s="34"/>
      <c r="N7" s="34">
        <f>$C$27*'E Balans VL '!Y9/100/3.6*1000000</f>
        <v>0.15894167184133562</v>
      </c>
      <c r="O7" s="34"/>
      <c r="P7" s="34"/>
      <c r="R7" s="33"/>
    </row>
    <row r="8" spans="1:18">
      <c r="A8" s="6" t="s">
        <v>52</v>
      </c>
      <c r="B8" s="38">
        <f t="shared" si="0"/>
        <v>4634.5730000000003</v>
      </c>
      <c r="C8" s="34"/>
      <c r="D8" s="38">
        <f>IF(ISERROR(TER_handel_gas_kWh/1000),0,TER_handel_gas_kWh/1000)*0.902</f>
        <v>1596.51226099465</v>
      </c>
      <c r="E8" s="34">
        <f>$C$28*'E Balans VL '!I13/100/3.6*1000000</f>
        <v>24.95774511832726</v>
      </c>
      <c r="F8" s="34">
        <f>$C$28*('E Balans VL '!L13+'E Balans VL '!N13)/100/3.6*1000000</f>
        <v>945.12716180492566</v>
      </c>
      <c r="G8" s="35"/>
      <c r="H8" s="34"/>
      <c r="I8" s="34"/>
      <c r="J8" s="34">
        <f>$C$28*('E Balans VL '!D13+'E Balans VL '!E13)/100/3.6*1000000</f>
        <v>0</v>
      </c>
      <c r="K8" s="34"/>
      <c r="L8" s="34"/>
      <c r="M8" s="34"/>
      <c r="N8" s="34">
        <f>$C$28*'E Balans VL '!Y13/100/3.6*1000000</f>
        <v>23.045284081119501</v>
      </c>
      <c r="O8" s="34"/>
      <c r="P8" s="34"/>
      <c r="R8" s="33"/>
    </row>
    <row r="9" spans="1:18">
      <c r="A9" s="33" t="s">
        <v>51</v>
      </c>
      <c r="B9" s="38">
        <f t="shared" si="0"/>
        <v>814.78800000000001</v>
      </c>
      <c r="C9" s="34"/>
      <c r="D9" s="38">
        <f>IF(ISERROR(TER_gezond_gas_kWh/1000),0,TER_gezond_gas_kWh/1000)*0.902</f>
        <v>61.11769348367735</v>
      </c>
      <c r="E9" s="34">
        <f>$C$29*'E Balans VL '!I10/100/3.6*1000000</f>
        <v>0.80746417373078871</v>
      </c>
      <c r="F9" s="34">
        <f>$C$29*('E Balans VL '!L10+'E Balans VL '!N10)/100/3.6*1000000</f>
        <v>282.70795063690076</v>
      </c>
      <c r="G9" s="35"/>
      <c r="H9" s="34"/>
      <c r="I9" s="34"/>
      <c r="J9" s="34">
        <f>$C$29*('E Balans VL '!D10+'E Balans VL '!E10)/100/3.6*1000000</f>
        <v>0</v>
      </c>
      <c r="K9" s="34"/>
      <c r="L9" s="34"/>
      <c r="M9" s="34"/>
      <c r="N9" s="34">
        <f>$C$29*'E Balans VL '!Y10/100/3.6*1000000</f>
        <v>7.0209576112539649</v>
      </c>
      <c r="O9" s="34"/>
      <c r="P9" s="34"/>
      <c r="R9" s="33"/>
    </row>
    <row r="10" spans="1:18">
      <c r="A10" s="33" t="s">
        <v>50</v>
      </c>
      <c r="B10" s="38">
        <f t="shared" si="0"/>
        <v>2247.3359999999998</v>
      </c>
      <c r="C10" s="34"/>
      <c r="D10" s="38">
        <f>IF(ISERROR(TER_ander_gas_kWh/1000),0,TER_ander_gas_kWh/1000)*0.902</f>
        <v>2806.6463495721132</v>
      </c>
      <c r="E10" s="34">
        <f>$C$30*'E Balans VL '!I14/100/3.6*1000000</f>
        <v>18.385454532373004</v>
      </c>
      <c r="F10" s="34">
        <f>$C$30*('E Balans VL '!L14+'E Balans VL '!N14)/100/3.6*1000000</f>
        <v>657.02955356212681</v>
      </c>
      <c r="G10" s="35"/>
      <c r="H10" s="34"/>
      <c r="I10" s="34"/>
      <c r="J10" s="34">
        <f>$C$30*('E Balans VL '!D14+'E Balans VL '!E14)/100/3.6*1000000</f>
        <v>0</v>
      </c>
      <c r="K10" s="34"/>
      <c r="L10" s="34"/>
      <c r="M10" s="34"/>
      <c r="N10" s="34">
        <f>$C$30*'E Balans VL '!Y14/100/3.6*1000000</f>
        <v>1296.4179966014713</v>
      </c>
      <c r="O10" s="34"/>
      <c r="P10" s="34"/>
      <c r="R10" s="33"/>
    </row>
    <row r="11" spans="1:18">
      <c r="A11" s="33" t="s">
        <v>55</v>
      </c>
      <c r="B11" s="38">
        <f t="shared" si="0"/>
        <v>675.75900000000001</v>
      </c>
      <c r="C11" s="34"/>
      <c r="D11" s="38">
        <f>IF(ISERROR(TER_onderwijs_gas_kWh/1000),0,TER_onderwijs_gas_kWh/1000)*0.902</f>
        <v>1575.4105517790013</v>
      </c>
      <c r="E11" s="34">
        <f>$C$31*'E Balans VL '!I11/100/3.6*1000000</f>
        <v>0.41650933449695737</v>
      </c>
      <c r="F11" s="34">
        <f>$C$31*('E Balans VL '!L11+'E Balans VL '!N11)/100/3.6*1000000</f>
        <v>261.25937309354151</v>
      </c>
      <c r="G11" s="35"/>
      <c r="H11" s="34"/>
      <c r="I11" s="34"/>
      <c r="J11" s="34">
        <f>$C$31*('E Balans VL '!D11+'E Balans VL '!E11)/100/3.6*1000000</f>
        <v>0</v>
      </c>
      <c r="K11" s="34"/>
      <c r="L11" s="34"/>
      <c r="M11" s="34"/>
      <c r="N11" s="34">
        <f>$C$31*'E Balans VL '!Y11/100/3.6*1000000</f>
        <v>2.1980992149382472</v>
      </c>
      <c r="O11" s="34"/>
      <c r="P11" s="34"/>
      <c r="R11" s="33"/>
    </row>
    <row r="12" spans="1:18">
      <c r="A12" s="33" t="s">
        <v>260</v>
      </c>
      <c r="B12" s="38">
        <f t="shared" si="0"/>
        <v>0</v>
      </c>
      <c r="C12" s="34"/>
      <c r="D12" s="38">
        <f>IF(ISERROR(TER_rest_gas_kWh/1000),0,TER_rest_gas_kWh/1000)*0.902</f>
        <v>4285.365448487004</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13126.724</v>
      </c>
      <c r="C16" s="22">
        <f t="shared" ca="1" si="1"/>
        <v>0</v>
      </c>
      <c r="D16" s="22">
        <f t="shared" ca="1" si="1"/>
        <v>13416.380029676695</v>
      </c>
      <c r="E16" s="22">
        <f t="shared" si="1"/>
        <v>128.00532429435134</v>
      </c>
      <c r="F16" s="22">
        <f t="shared" ca="1" si="1"/>
        <v>2872.5933813050988</v>
      </c>
      <c r="G16" s="22">
        <f t="shared" si="1"/>
        <v>0</v>
      </c>
      <c r="H16" s="22">
        <f t="shared" si="1"/>
        <v>0</v>
      </c>
      <c r="I16" s="22">
        <f t="shared" si="1"/>
        <v>0</v>
      </c>
      <c r="J16" s="22">
        <f t="shared" si="1"/>
        <v>0</v>
      </c>
      <c r="K16" s="22">
        <f t="shared" si="1"/>
        <v>0</v>
      </c>
      <c r="L16" s="22">
        <f t="shared" ca="1" si="1"/>
        <v>0</v>
      </c>
      <c r="M16" s="22">
        <f t="shared" si="1"/>
        <v>0</v>
      </c>
      <c r="N16" s="22">
        <f t="shared" ca="1" si="1"/>
        <v>1329.4977509153248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0.20008054816295393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2626.4021335038033</v>
      </c>
      <c r="C20" s="24">
        <f t="shared" ref="C20:P20" ca="1" si="2">C16*C18</f>
        <v>0</v>
      </c>
      <c r="D20" s="24">
        <f t="shared" ca="1" si="2"/>
        <v>2710.1087659946925</v>
      </c>
      <c r="E20" s="24">
        <f t="shared" si="2"/>
        <v>29.057208614817753</v>
      </c>
      <c r="F20" s="24">
        <f t="shared" ca="1" si="2"/>
        <v>766.98243280846145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3249.1320000000001</v>
      </c>
      <c r="C26" s="40">
        <f>IF(ISERROR(B26*3.6/1000000/'E Balans VL '!Z12*100),0,B26*3.6/1000000/'E Balans VL '!Z12*100)</f>
        <v>6.9041724946577718E-2</v>
      </c>
      <c r="D26" s="240" t="s">
        <v>707</v>
      </c>
      <c r="F26" s="6"/>
    </row>
    <row r="27" spans="1:18">
      <c r="A27" s="234" t="s">
        <v>53</v>
      </c>
      <c r="B27" s="34">
        <f>IF(ISERROR(TER_horeca_ele_kWh/1000),0,TER_horeca_ele_kWh/1000)</f>
        <v>1505.136</v>
      </c>
      <c r="C27" s="40">
        <f>IF(ISERROR(B27*3.6/1000000/'E Balans VL '!Z9*100),0,B27*3.6/1000000/'E Balans VL '!Z9*100)</f>
        <v>0.1184658423662129</v>
      </c>
      <c r="D27" s="240" t="s">
        <v>707</v>
      </c>
      <c r="F27" s="6"/>
    </row>
    <row r="28" spans="1:18">
      <c r="A28" s="174" t="s">
        <v>52</v>
      </c>
      <c r="B28" s="34">
        <f>IF(ISERROR(TER_handel_ele_kWh/1000),0,TER_handel_ele_kWh/1000)</f>
        <v>4634.5730000000003</v>
      </c>
      <c r="C28" s="40">
        <f>IF(ISERROR(B28*3.6/1000000/'E Balans VL '!Z13*100),0,B28*3.6/1000000/'E Balans VL '!Z13*100)</f>
        <v>0.12981687005554707</v>
      </c>
      <c r="D28" s="240" t="s">
        <v>707</v>
      </c>
      <c r="F28" s="6"/>
    </row>
    <row r="29" spans="1:18">
      <c r="A29" s="234" t="s">
        <v>51</v>
      </c>
      <c r="B29" s="34">
        <f>IF(ISERROR(TER_gezond_ele_kWh/1000),0,TER_gezond_ele_kWh/1000)</f>
        <v>814.78800000000001</v>
      </c>
      <c r="C29" s="40">
        <f>IF(ISERROR(B29*3.6/1000000/'E Balans VL '!Z10*100),0,B29*3.6/1000000/'E Balans VL '!Z10*100)</f>
        <v>0.10423602339683161</v>
      </c>
      <c r="D29" s="240" t="s">
        <v>707</v>
      </c>
      <c r="F29" s="6"/>
    </row>
    <row r="30" spans="1:18">
      <c r="A30" s="234" t="s">
        <v>50</v>
      </c>
      <c r="B30" s="34">
        <f>IF(ISERROR(TER_ander_ele_kWh/1000),0,TER_ander_ele_kWh/1000)</f>
        <v>2247.3359999999998</v>
      </c>
      <c r="C30" s="40">
        <f>IF(ISERROR(B30*3.6/1000000/'E Balans VL '!Z14*100),0,B30*3.6/1000000/'E Balans VL '!Z14*100)</f>
        <v>0.16808179641606616</v>
      </c>
      <c r="D30" s="240" t="s">
        <v>707</v>
      </c>
      <c r="F30" s="6"/>
    </row>
    <row r="31" spans="1:18">
      <c r="A31" s="234" t="s">
        <v>55</v>
      </c>
      <c r="B31" s="34">
        <f>IF(ISERROR(TER_onderwijs_ele_kWh/1000),0,TER_onderwijs_ele_kWh/1000)</f>
        <v>675.75900000000001</v>
      </c>
      <c r="C31" s="40">
        <f>IF(ISERROR(B31*3.6/1000000/'E Balans VL '!Z11*100),0,B31*3.6/1000000/'E Balans VL '!Z11*100)</f>
        <v>0.14268738818164536</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25736.578000000001</v>
      </c>
      <c r="C5" s="18">
        <f>IF(ISERROR('Eigen informatie GS &amp; warmtenet'!B59),0,'Eigen informatie GS &amp; warmtenet'!B59)</f>
        <v>0</v>
      </c>
      <c r="D5" s="31">
        <f>SUM(D6:D15)</f>
        <v>3107.7206675218436</v>
      </c>
      <c r="E5" s="18">
        <f>SUM(E6:E15)</f>
        <v>217.78654629529993</v>
      </c>
      <c r="F5" s="18">
        <f>SUM(F6:F15)</f>
        <v>15788.396351451369</v>
      </c>
      <c r="G5" s="19"/>
      <c r="H5" s="18"/>
      <c r="I5" s="18"/>
      <c r="J5" s="18">
        <f>SUM(J6:J15)</f>
        <v>25.885101167523796</v>
      </c>
      <c r="K5" s="18"/>
      <c r="L5" s="18"/>
      <c r="M5" s="18"/>
      <c r="N5" s="18">
        <f>SUM(N6:N15)</f>
        <v>2112.2239127216039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1453.8409999999999</v>
      </c>
      <c r="C8" s="34"/>
      <c r="D8" s="38">
        <f>IF( ISERROR(IND_metaal_Gas_kWH/1000),0,IND_metaal_Gas_kWH/1000)*0.902</f>
        <v>103.04637572837136</v>
      </c>
      <c r="E8" s="34">
        <f>C30*'E Balans VL '!I18/100/3.6*1000000</f>
        <v>13.239867986890417</v>
      </c>
      <c r="F8" s="34">
        <f>C30*'E Balans VL '!L18/100/3.6*1000000+C30*'E Balans VL '!N18/100/3.6*1000000</f>
        <v>191.75058724181673</v>
      </c>
      <c r="G8" s="35"/>
      <c r="H8" s="34"/>
      <c r="I8" s="34"/>
      <c r="J8" s="41">
        <f>C30*'E Balans VL '!D18/100/3.6*1000000+C30*'E Balans VL '!E18/100/3.6*1000000</f>
        <v>23.84088149887927</v>
      </c>
      <c r="K8" s="34"/>
      <c r="L8" s="34"/>
      <c r="M8" s="34"/>
      <c r="N8" s="34">
        <f>C30*'E Balans VL '!Y18/100/3.6*1000000</f>
        <v>4.9962739801442426</v>
      </c>
      <c r="O8" s="34"/>
      <c r="P8" s="34"/>
      <c r="R8" s="33"/>
    </row>
    <row r="9" spans="1:18">
      <c r="A9" s="6" t="s">
        <v>33</v>
      </c>
      <c r="B9" s="38">
        <f t="shared" si="0"/>
        <v>18703.59</v>
      </c>
      <c r="C9" s="34"/>
      <c r="D9" s="38">
        <f>IF( ISERROR(IND_andere_gas_kWh/1000),0,IND_andere_gas_kWh/1000)*0.902</f>
        <v>1136.4548312340387</v>
      </c>
      <c r="E9" s="34">
        <f>C31*'E Balans VL '!I19/100/3.6*1000000</f>
        <v>108.10954522034105</v>
      </c>
      <c r="F9" s="34">
        <f>C31*'E Balans VL '!L19/100/3.6*1000000+C31*'E Balans VL '!N19/100/3.6*1000000</f>
        <v>14879.60582613724</v>
      </c>
      <c r="G9" s="35"/>
      <c r="H9" s="34"/>
      <c r="I9" s="34"/>
      <c r="J9" s="41">
        <f>C31*'E Balans VL '!D19/100/3.6*1000000+C31*'E Balans VL '!E19/100/3.6*1000000</f>
        <v>1.7691518604066507</v>
      </c>
      <c r="K9" s="34"/>
      <c r="L9" s="34"/>
      <c r="M9" s="34"/>
      <c r="N9" s="34">
        <f>C31*'E Balans VL '!Y19/100/3.6*1000000</f>
        <v>1417.0799896741571</v>
      </c>
      <c r="O9" s="34"/>
      <c r="P9" s="34"/>
      <c r="R9" s="33"/>
    </row>
    <row r="10" spans="1:18">
      <c r="A10" s="6" t="s">
        <v>41</v>
      </c>
      <c r="B10" s="38">
        <f t="shared" si="0"/>
        <v>3809.509</v>
      </c>
      <c r="C10" s="34"/>
      <c r="D10" s="38">
        <f>IF( ISERROR(IND_voed_gas_kWh/1000),0,IND_voed_gas_kWh/1000)*0.902</f>
        <v>444.44518865493961</v>
      </c>
      <c r="E10" s="34">
        <f>C32*'E Balans VL '!I20/100/3.6*1000000</f>
        <v>37.457439721978744</v>
      </c>
      <c r="F10" s="34">
        <f>C32*'E Balans VL '!L20/100/3.6*1000000+C32*'E Balans VL '!N20/100/3.6*1000000</f>
        <v>423.09569861628347</v>
      </c>
      <c r="G10" s="35"/>
      <c r="H10" s="34"/>
      <c r="I10" s="34"/>
      <c r="J10" s="41">
        <f>C32*'E Balans VL '!D20/100/3.6*1000000+C32*'E Balans VL '!E20/100/3.6*1000000</f>
        <v>1.5015004382023234E-2</v>
      </c>
      <c r="K10" s="34"/>
      <c r="L10" s="34"/>
      <c r="M10" s="34"/>
      <c r="N10" s="34">
        <f>C32*'E Balans VL '!Y20/100/3.6*1000000</f>
        <v>56.409867380282883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1717.925</v>
      </c>
      <c r="C13" s="34"/>
      <c r="D13" s="38">
        <f>IF( ISERROR(IND_papier_gas_kWh/1000),0,IND_papier_gas_kWh/1000)*0.902</f>
        <v>0</v>
      </c>
      <c r="E13" s="34">
        <f>C35*'E Balans VL '!I23/100/3.6*1000000</f>
        <v>58.515016330211587</v>
      </c>
      <c r="F13" s="34">
        <f>C35*'E Balans VL '!L23/100/3.6*1000000+C35*'E Balans VL '!N23/100/3.6*1000000</f>
        <v>283.7608911681358</v>
      </c>
      <c r="G13" s="35"/>
      <c r="H13" s="34"/>
      <c r="I13" s="34"/>
      <c r="J13" s="41">
        <f>C35*'E Balans VL '!D23/100/3.6*1000000+C35*'E Balans VL '!E23/100/3.6*1000000</f>
        <v>0</v>
      </c>
      <c r="K13" s="34"/>
      <c r="L13" s="34"/>
      <c r="M13" s="34"/>
      <c r="N13" s="34">
        <f>C35*'E Balans VL '!Y23/100/3.6*1000000</f>
        <v>632.15032882294008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51.713000000000001</v>
      </c>
      <c r="C15" s="34"/>
      <c r="D15" s="38">
        <f>IF( ISERROR(IND_rest_gas_kWh/1000),0,IND_rest_gas_kWh/1000)*0.902</f>
        <v>1423.7742719044938</v>
      </c>
      <c r="E15" s="34">
        <f>C37*'E Balans VL '!I15/100/3.6*1000000</f>
        <v>0.46467703587814035</v>
      </c>
      <c r="F15" s="34">
        <f>C37*'E Balans VL '!L15/100/3.6*1000000+C37*'E Balans VL '!N15/100/3.6*1000000</f>
        <v>10.183348287891592</v>
      </c>
      <c r="G15" s="35"/>
      <c r="H15" s="34"/>
      <c r="I15" s="34"/>
      <c r="J15" s="41">
        <f>C37*'E Balans VL '!D15/100/3.6*1000000+C37*'E Balans VL '!E15/100/3.6*1000000</f>
        <v>0.26005280385585167</v>
      </c>
      <c r="K15" s="34"/>
      <c r="L15" s="34"/>
      <c r="M15" s="34"/>
      <c r="N15" s="34">
        <f>C37*'E Balans VL '!Y15/100/3.6*1000000</f>
        <v>1.5874528640795456</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25736.578000000001</v>
      </c>
      <c r="C18" s="22">
        <f>C5+C16</f>
        <v>0</v>
      </c>
      <c r="D18" s="22">
        <f>MAX((D5+D16),0)</f>
        <v>3107.7206675218436</v>
      </c>
      <c r="E18" s="22">
        <f>MAX((E5+E16),0)</f>
        <v>217.78654629529993</v>
      </c>
      <c r="F18" s="22">
        <f>MAX((F5+F16),0)</f>
        <v>15788.396351451369</v>
      </c>
      <c r="G18" s="22"/>
      <c r="H18" s="22"/>
      <c r="I18" s="22"/>
      <c r="J18" s="22">
        <f>MAX((J5+J16),0)</f>
        <v>25.885101167523796</v>
      </c>
      <c r="K18" s="22"/>
      <c r="L18" s="22">
        <f>MAX((L5+L16),0)</f>
        <v>0</v>
      </c>
      <c r="M18" s="22"/>
      <c r="N18" s="22">
        <f>MAX((N5+N16),0)</f>
        <v>2112.2239127216039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0.20008054816295393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5149.3886340786203</v>
      </c>
      <c r="C22" s="24">
        <f ca="1">C18*C20</f>
        <v>0</v>
      </c>
      <c r="D22" s="24">
        <f>D18*D20</f>
        <v>627.75957483941249</v>
      </c>
      <c r="E22" s="24">
        <f>E18*E20</f>
        <v>49.437546009033085</v>
      </c>
      <c r="F22" s="24">
        <f>F18*F20</f>
        <v>4215.5018258375158</v>
      </c>
      <c r="G22" s="24"/>
      <c r="H22" s="24"/>
      <c r="I22" s="24"/>
      <c r="J22" s="24">
        <f>J18*J20</f>
        <v>9.1633258133034232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1453.8409999999999</v>
      </c>
      <c r="C30" s="40">
        <f>IF(ISERROR(B30*3.6/1000000/'E Balans VL '!Z18*100),0,B30*3.6/1000000/'E Balans VL '!Z18*100)</f>
        <v>8.0896529898643085E-2</v>
      </c>
      <c r="D30" s="240" t="s">
        <v>707</v>
      </c>
    </row>
    <row r="31" spans="1:18">
      <c r="A31" s="6" t="s">
        <v>33</v>
      </c>
      <c r="B31" s="38">
        <f>IF( ISERROR(IND_ander_ele_kWh/1000),0,IND_ander_ele_kWh/1000)</f>
        <v>18703.59</v>
      </c>
      <c r="C31" s="40">
        <f>IF(ISERROR(B31*3.6/1000000/'E Balans VL '!Z19*100),0,B31*3.6/1000000/'E Balans VL '!Z19*100)</f>
        <v>0.86948077781077737</v>
      </c>
      <c r="D31" s="240" t="s">
        <v>707</v>
      </c>
    </row>
    <row r="32" spans="1:18">
      <c r="A32" s="174" t="s">
        <v>41</v>
      </c>
      <c r="B32" s="38">
        <f>IF( ISERROR(IND_voed_ele_kWh/1000),0,IND_voed_ele_kWh/1000)</f>
        <v>3809.509</v>
      </c>
      <c r="C32" s="40">
        <f>IF(ISERROR(B32*3.6/1000000/'E Balans VL '!Z20*100),0,B32*3.6/1000000/'E Balans VL '!Z20*100)</f>
        <v>0.13465844952074593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1717.925</v>
      </c>
      <c r="C35" s="40">
        <f>IF(ISERROR(B35*3.6/1000000/'E Balans VL '!Z22*100),0,B35*3.6/1000000/'E Balans VL '!Z22*100)</f>
        <v>0.34525448115163182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51.713000000000001</v>
      </c>
      <c r="C37" s="40">
        <f>IF(ISERROR(B37*3.6/1000000/'E Balans VL '!Z15*100),0,B37*3.6/1000000/'E Balans VL '!Z15*100)</f>
        <v>3.9050954165256133E-4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2953.9029999999998</v>
      </c>
      <c r="C5" s="18">
        <f>'Eigen informatie GS &amp; warmtenet'!B60</f>
        <v>0</v>
      </c>
      <c r="D5" s="31">
        <f>IF(ISERROR(SUM(LB_lb_gas_kWh,LB_rest_gas_kWh,onbekend_gas_kWh)/1000),0,SUM(LB_lb_gas_kWh,LB_rest_gas_kWh,onbekend_gas_kWh)/1000)*0.902</f>
        <v>2468.1705012959756</v>
      </c>
      <c r="E5" s="18">
        <f>B17*'E Balans VL '!I25/3.6*1000000/100</f>
        <v>27.827745439933231</v>
      </c>
      <c r="F5" s="18">
        <f>B17*('E Balans VL '!L25/3.6*1000000+'E Balans VL '!N25/3.6*1000000)/100</f>
        <v>9639.5658033112995</v>
      </c>
      <c r="G5" s="19"/>
      <c r="H5" s="18"/>
      <c r="I5" s="18"/>
      <c r="J5" s="18">
        <f>('E Balans VL '!D25+'E Balans VL '!E25)/3.6*1000000*landbouw!B17/100</f>
        <v>365.41216888143208</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2953.9029999999998</v>
      </c>
      <c r="C8" s="22">
        <f>C5+C6</f>
        <v>0</v>
      </c>
      <c r="D8" s="22">
        <f>MAX((D5+D6),0)</f>
        <v>2468.1705012959756</v>
      </c>
      <c r="E8" s="22">
        <f>MAX((E5+E6),0)</f>
        <v>27.827745439933231</v>
      </c>
      <c r="F8" s="22">
        <f>MAX((F5+F6),0)</f>
        <v>9639.5658033112995</v>
      </c>
      <c r="G8" s="22"/>
      <c r="H8" s="22"/>
      <c r="I8" s="22"/>
      <c r="J8" s="22">
        <f>MAX((J5+J6),0)</f>
        <v>365.41216888143208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0.20008054816295393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591.01853146019403</v>
      </c>
      <c r="C12" s="24">
        <f ca="1">C8*C10</f>
        <v>0</v>
      </c>
      <c r="D12" s="24">
        <f>D8*D10</f>
        <v>498.5704412617871</v>
      </c>
      <c r="E12" s="24">
        <f>E8*E10</f>
        <v>6.3168982148648434</v>
      </c>
      <c r="F12" s="24">
        <f>F8*F10</f>
        <v>2573.764069484117</v>
      </c>
      <c r="G12" s="24"/>
      <c r="H12" s="24"/>
      <c r="I12" s="24"/>
      <c r="J12" s="24">
        <f>J8*J10</f>
        <v>129.35590778402695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0.39991126433896046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841.31166302838074</v>
      </c>
      <c r="C26" s="250">
        <f>B26*'GWP N2O_CH4'!B5</f>
        <v>17667.544923595997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300.68163206265518</v>
      </c>
      <c r="C27" s="250">
        <f>B27*'GWP N2O_CH4'!B5</f>
        <v>6314.3142733157592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10.146616433490999</v>
      </c>
      <c r="C28" s="250">
        <f>B28*'GWP N2O_CH4'!B4</f>
        <v>3145.4510943822097</v>
      </c>
      <c r="D28" s="51"/>
    </row>
    <row r="29" spans="1:4">
      <c r="A29" s="42" t="s">
        <v>277</v>
      </c>
      <c r="B29" s="250">
        <f>B34*'ha_N2O bodem landbouw'!B4</f>
        <v>14.781177809096452</v>
      </c>
      <c r="C29" s="250">
        <f>B29*'GWP N2O_CH4'!B4</f>
        <v>4582.1651208199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3.990452693034427E-3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5.0677291367746485E-6</v>
      </c>
      <c r="C5" s="447" t="s">
        <v>211</v>
      </c>
      <c r="D5" s="432">
        <f>SUM(D6:D11)</f>
        <v>1.7301595648408712E-5</v>
      </c>
      <c r="E5" s="432">
        <f>SUM(E6:E11)</f>
        <v>9.7106045202872634E-4</v>
      </c>
      <c r="F5" s="445" t="s">
        <v>211</v>
      </c>
      <c r="G5" s="432">
        <f>SUM(G6:G11)</f>
        <v>0.16288360056231815</v>
      </c>
      <c r="H5" s="432">
        <f>SUM(H6:H11)</f>
        <v>3.7804077614492337E-2</v>
      </c>
      <c r="I5" s="447" t="s">
        <v>211</v>
      </c>
      <c r="J5" s="447" t="s">
        <v>211</v>
      </c>
      <c r="K5" s="447" t="s">
        <v>211</v>
      </c>
      <c r="L5" s="447" t="s">
        <v>211</v>
      </c>
      <c r="M5" s="432">
        <f>SUM(M6:M11)</f>
        <v>8.9824944366306697E-3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2.5276772219567206E-6</v>
      </c>
      <c r="C6" s="433"/>
      <c r="D6" s="433">
        <f>vkm_2011_GW_PW*SUMIFS(TableVerdeelsleutelVkm[CNG],TableVerdeelsleutelVkm[Voertuigtype],"Lichte voertuigen")*SUMIFS(TableECFTransport[EnergieConsumptieFactor (PJ per km)],TableECFTransport[Index],CONCATENATE($A6,"_CNG_CNG"))</f>
        <v>6.1726301072978134E-6</v>
      </c>
      <c r="E6" s="435">
        <f>vkm_2011_GW_PW*SUMIFS(TableVerdeelsleutelVkm[LPG],TableVerdeelsleutelVkm[Voertuigtype],"Lichte voertuigen")*SUMIFS(TableECFTransport[EnergieConsumptieFactor (PJ per km)],TableECFTransport[Index],CONCATENATE($A6,"_LPG_LPG"))</f>
        <v>3.6588161346607891E-4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5.2892491266242347E-2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1.3861602387756548E-2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2.9893712490296452E-3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1.4721466149955611E-2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5.9395376497840841E-6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6.5583676219078827E-4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2.5400519148179275E-6</v>
      </c>
      <c r="C8" s="433"/>
      <c r="D8" s="435">
        <f>vkm_2011_NGW_PW*SUMIFS(TableVerdeelsleutelVkm[CNG],TableVerdeelsleutelVkm[Voertuigtype],"Lichte voertuigen")*SUMIFS(TableECFTransport[EnergieConsumptieFactor (PJ per km)],TableECFTransport[Index],CONCATENATE($A8,"_CNG_CNG"))</f>
        <v>1.1128965541110899E-5</v>
      </c>
      <c r="E8" s="435">
        <f>vkm_2011_NGW_PW*SUMIFS(TableVerdeelsleutelVkm[LPG],TableVerdeelsleutelVkm[Voertuigtype],"Lichte voertuigen")*SUMIFS(TableECFTransport[EnergieConsumptieFactor (PJ per km)],TableECFTransport[Index],CONCATENATE($A8,"_LPG_LPG"))</f>
        <v>6.0517883856264743E-4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8.2646443847171819E-2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2.3932101263590924E-2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4.7749569227429145E-3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1.262319929894839E-2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4.434425495078958E-6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5.6232950266732061E-4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1.407702537992958</v>
      </c>
      <c r="C14" s="22"/>
      <c r="D14" s="22">
        <f t="shared" ref="D14:M14" si="0">((D5)*10^9/3600)+D12</f>
        <v>4.805998791224642</v>
      </c>
      <c r="E14" s="22">
        <f t="shared" si="0"/>
        <v>269.73901445242399</v>
      </c>
      <c r="F14" s="22"/>
      <c r="G14" s="22">
        <f t="shared" si="0"/>
        <v>45245.444600643932</v>
      </c>
      <c r="H14" s="22">
        <f t="shared" si="0"/>
        <v>10501.132670692316</v>
      </c>
      <c r="I14" s="22"/>
      <c r="J14" s="22"/>
      <c r="K14" s="22"/>
      <c r="L14" s="22"/>
      <c r="M14" s="22">
        <f t="shared" si="0"/>
        <v>2495.1373435085193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0.20008054816295393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0.28165389545201253</v>
      </c>
      <c r="C18" s="24"/>
      <c r="D18" s="24">
        <f t="shared" ref="D18:M18" si="1">D14*D16</f>
        <v>0.97081175582737778</v>
      </c>
      <c r="E18" s="24">
        <f t="shared" si="1"/>
        <v>61.230756280700248</v>
      </c>
      <c r="F18" s="24"/>
      <c r="G18" s="24">
        <f t="shared" si="1"/>
        <v>12080.533708371931</v>
      </c>
      <c r="H18" s="24">
        <f t="shared" si="1"/>
        <v>2614.7820350023867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2.2135266613909285E-3</v>
      </c>
      <c r="H50" s="323">
        <f t="shared" si="2"/>
        <v>0</v>
      </c>
      <c r="I50" s="323">
        <f t="shared" si="2"/>
        <v>0</v>
      </c>
      <c r="J50" s="323">
        <f t="shared" si="2"/>
        <v>0</v>
      </c>
      <c r="K50" s="323">
        <f t="shared" si="2"/>
        <v>0</v>
      </c>
      <c r="L50" s="323">
        <f t="shared" si="2"/>
        <v>0</v>
      </c>
      <c r="M50" s="323">
        <f t="shared" si="2"/>
        <v>9.7199607142305238E-5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2.2135266613909285E-3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9.7199607142305238E-5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614.8685170530357</v>
      </c>
      <c r="H54" s="22">
        <f t="shared" si="3"/>
        <v>0</v>
      </c>
      <c r="I54" s="22">
        <f t="shared" si="3"/>
        <v>0</v>
      </c>
      <c r="J54" s="22">
        <f t="shared" si="3"/>
        <v>0</v>
      </c>
      <c r="K54" s="22">
        <f t="shared" si="3"/>
        <v>0</v>
      </c>
      <c r="L54" s="22">
        <f t="shared" si="3"/>
        <v>0</v>
      </c>
      <c r="M54" s="22">
        <f t="shared" si="3"/>
        <v>26.999890872862565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0.20008054816295393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164.16989405316053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3393.7085912764041</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4460.7519337514323</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7854.4605250278364</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14513.865</v>
      </c>
      <c r="D10" s="703">
        <f ca="1">tertiair!C16</f>
        <v>0</v>
      </c>
      <c r="E10" s="703">
        <f ca="1">tertiair!D16</f>
        <v>13416.380029676695</v>
      </c>
      <c r="F10" s="703">
        <f>tertiair!E16</f>
        <v>128.00532429435134</v>
      </c>
      <c r="G10" s="703">
        <f ca="1">tertiair!F16</f>
        <v>2872.5933813050988</v>
      </c>
      <c r="H10" s="703">
        <f>tertiair!G16</f>
        <v>0</v>
      </c>
      <c r="I10" s="703">
        <f>tertiair!H16</f>
        <v>0</v>
      </c>
      <c r="J10" s="703">
        <f>tertiair!I16</f>
        <v>0</v>
      </c>
      <c r="K10" s="703">
        <f>tertiair!J16</f>
        <v>0</v>
      </c>
      <c r="L10" s="703">
        <f>tertiair!K16</f>
        <v>0</v>
      </c>
      <c r="M10" s="703">
        <f ca="1">tertiair!L16</f>
        <v>0</v>
      </c>
      <c r="N10" s="703">
        <f>tertiair!M16</f>
        <v>0</v>
      </c>
      <c r="O10" s="703">
        <f ca="1">tertiair!N16</f>
        <v>1329.4977509153248</v>
      </c>
      <c r="P10" s="703">
        <f>tertiair!O16</f>
        <v>0</v>
      </c>
      <c r="Q10" s="704">
        <f>tertiair!P16</f>
        <v>0</v>
      </c>
      <c r="R10" s="706">
        <f ca="1">SUM(C10:Q10)</f>
        <v>32260.341486191468</v>
      </c>
      <c r="S10" s="68"/>
    </row>
    <row r="11" spans="1:19" s="458" customFormat="1">
      <c r="A11" s="859" t="s">
        <v>225</v>
      </c>
      <c r="B11" s="864"/>
      <c r="C11" s="703">
        <f>huishoudens!B8</f>
        <v>39771.362024613896</v>
      </c>
      <c r="D11" s="703">
        <f>huishoudens!C8</f>
        <v>0</v>
      </c>
      <c r="E11" s="703">
        <f>huishoudens!D8</f>
        <v>62975.111228764523</v>
      </c>
      <c r="F11" s="703">
        <f>huishoudens!E8</f>
        <v>12447.895583909922</v>
      </c>
      <c r="G11" s="703">
        <f>huishoudens!F8</f>
        <v>27069.30332637933</v>
      </c>
      <c r="H11" s="703">
        <f>huishoudens!G8</f>
        <v>0</v>
      </c>
      <c r="I11" s="703">
        <f>huishoudens!H8</f>
        <v>0</v>
      </c>
      <c r="J11" s="703">
        <f>huishoudens!I8</f>
        <v>0</v>
      </c>
      <c r="K11" s="703">
        <f>huishoudens!J8</f>
        <v>85.203950818076862</v>
      </c>
      <c r="L11" s="703">
        <f>huishoudens!K8</f>
        <v>0</v>
      </c>
      <c r="M11" s="703">
        <f>huishoudens!L8</f>
        <v>0</v>
      </c>
      <c r="N11" s="703">
        <f>huishoudens!M8</f>
        <v>0</v>
      </c>
      <c r="O11" s="703">
        <f>huishoudens!N8</f>
        <v>23558.057524002255</v>
      </c>
      <c r="P11" s="703">
        <f>huishoudens!O8</f>
        <v>70.350000000000009</v>
      </c>
      <c r="Q11" s="704">
        <f>huishoudens!P8</f>
        <v>286</v>
      </c>
      <c r="R11" s="706">
        <f>SUM(C11:Q11)</f>
        <v>166263.28363848798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25736.578000000001</v>
      </c>
      <c r="D13" s="703">
        <f>industrie!C18</f>
        <v>0</v>
      </c>
      <c r="E13" s="703">
        <f>industrie!D18</f>
        <v>3107.7206675218436</v>
      </c>
      <c r="F13" s="703">
        <f>industrie!E18</f>
        <v>217.78654629529993</v>
      </c>
      <c r="G13" s="703">
        <f>industrie!F18</f>
        <v>15788.396351451369</v>
      </c>
      <c r="H13" s="703">
        <f>industrie!G18</f>
        <v>0</v>
      </c>
      <c r="I13" s="703">
        <f>industrie!H18</f>
        <v>0</v>
      </c>
      <c r="J13" s="703">
        <f>industrie!I18</f>
        <v>0</v>
      </c>
      <c r="K13" s="703">
        <f>industrie!J18</f>
        <v>25.885101167523796</v>
      </c>
      <c r="L13" s="703">
        <f>industrie!K18</f>
        <v>0</v>
      </c>
      <c r="M13" s="703">
        <f>industrie!L18</f>
        <v>0</v>
      </c>
      <c r="N13" s="703">
        <f>industrie!M18</f>
        <v>0</v>
      </c>
      <c r="O13" s="703">
        <f>industrie!N18</f>
        <v>2112.2239127216039</v>
      </c>
      <c r="P13" s="703">
        <f>industrie!O18</f>
        <v>0</v>
      </c>
      <c r="Q13" s="704">
        <f>industrie!P18</f>
        <v>0</v>
      </c>
      <c r="R13" s="706">
        <f>SUM(C13:Q13)</f>
        <v>46988.590579157637</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80021.805024613888</v>
      </c>
      <c r="D15" s="708">
        <f t="shared" ref="D15:Q15" ca="1" si="0">SUM(D9:D14)</f>
        <v>0</v>
      </c>
      <c r="E15" s="708">
        <f t="shared" ca="1" si="0"/>
        <v>79499.211925963071</v>
      </c>
      <c r="F15" s="708">
        <f t="shared" si="0"/>
        <v>12793.687454499572</v>
      </c>
      <c r="G15" s="708">
        <f t="shared" ca="1" si="0"/>
        <v>45730.293059135794</v>
      </c>
      <c r="H15" s="708">
        <f t="shared" si="0"/>
        <v>0</v>
      </c>
      <c r="I15" s="708">
        <f t="shared" si="0"/>
        <v>0</v>
      </c>
      <c r="J15" s="708">
        <f t="shared" si="0"/>
        <v>0</v>
      </c>
      <c r="K15" s="708">
        <f t="shared" si="0"/>
        <v>111.08905198560066</v>
      </c>
      <c r="L15" s="708">
        <f t="shared" si="0"/>
        <v>0</v>
      </c>
      <c r="M15" s="708">
        <f t="shared" ca="1" si="0"/>
        <v>0</v>
      </c>
      <c r="N15" s="708">
        <f t="shared" si="0"/>
        <v>0</v>
      </c>
      <c r="O15" s="708">
        <f t="shared" ca="1" si="0"/>
        <v>26999.779187639186</v>
      </c>
      <c r="P15" s="708">
        <f t="shared" si="0"/>
        <v>70.350000000000009</v>
      </c>
      <c r="Q15" s="709">
        <f t="shared" si="0"/>
        <v>286</v>
      </c>
      <c r="R15" s="710">
        <f ca="1">SUM(R9:R14)</f>
        <v>245512.21570383708</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614.8685170530357</v>
      </c>
      <c r="I18" s="703">
        <f>transport!H54</f>
        <v>0</v>
      </c>
      <c r="J18" s="703">
        <f>transport!I54</f>
        <v>0</v>
      </c>
      <c r="K18" s="703">
        <f>transport!J54</f>
        <v>0</v>
      </c>
      <c r="L18" s="703">
        <f>transport!K54</f>
        <v>0</v>
      </c>
      <c r="M18" s="703">
        <f>transport!L54</f>
        <v>0</v>
      </c>
      <c r="N18" s="703">
        <f>transport!M54</f>
        <v>26.999890872862565</v>
      </c>
      <c r="O18" s="703">
        <f>transport!N54</f>
        <v>0</v>
      </c>
      <c r="P18" s="703">
        <f>transport!O54</f>
        <v>0</v>
      </c>
      <c r="Q18" s="704">
        <f>transport!P54</f>
        <v>0</v>
      </c>
      <c r="R18" s="706">
        <f>SUM(C18:Q18)</f>
        <v>641.86840792589828</v>
      </c>
      <c r="S18" s="68"/>
    </row>
    <row r="19" spans="1:19" s="458" customFormat="1" ht="15" thickBot="1">
      <c r="A19" s="859" t="s">
        <v>307</v>
      </c>
      <c r="B19" s="864"/>
      <c r="C19" s="712">
        <f>transport!B14</f>
        <v>1.407702537992958</v>
      </c>
      <c r="D19" s="712">
        <f>transport!C14</f>
        <v>0</v>
      </c>
      <c r="E19" s="712">
        <f>transport!D14</f>
        <v>4.805998791224642</v>
      </c>
      <c r="F19" s="712">
        <f>transport!E14</f>
        <v>269.73901445242399</v>
      </c>
      <c r="G19" s="712">
        <f>transport!F14</f>
        <v>0</v>
      </c>
      <c r="H19" s="712">
        <f>transport!G14</f>
        <v>45245.444600643932</v>
      </c>
      <c r="I19" s="712">
        <f>transport!H14</f>
        <v>10501.132670692316</v>
      </c>
      <c r="J19" s="712">
        <f>transport!I14</f>
        <v>0</v>
      </c>
      <c r="K19" s="712">
        <f>transport!J14</f>
        <v>0</v>
      </c>
      <c r="L19" s="712">
        <f>transport!K14</f>
        <v>0</v>
      </c>
      <c r="M19" s="712">
        <f>transport!L14</f>
        <v>0</v>
      </c>
      <c r="N19" s="712">
        <f>transport!M14</f>
        <v>2495.1373435085193</v>
      </c>
      <c r="O19" s="712">
        <f>transport!N14</f>
        <v>0</v>
      </c>
      <c r="P19" s="712">
        <f>transport!O14</f>
        <v>0</v>
      </c>
      <c r="Q19" s="713">
        <f>transport!P14</f>
        <v>0</v>
      </c>
      <c r="R19" s="714">
        <f>SUM(C19:Q19)</f>
        <v>58517.667330626406</v>
      </c>
      <c r="S19" s="68"/>
    </row>
    <row r="20" spans="1:19" s="458" customFormat="1" ht="15.75" thickBot="1">
      <c r="A20" s="715" t="s">
        <v>230</v>
      </c>
      <c r="B20" s="867"/>
      <c r="C20" s="862">
        <f>SUM(C17:C19)</f>
        <v>1.407702537992958</v>
      </c>
      <c r="D20" s="716">
        <f t="shared" ref="D20:R20" si="1">SUM(D17:D19)</f>
        <v>0</v>
      </c>
      <c r="E20" s="716">
        <f t="shared" si="1"/>
        <v>4.805998791224642</v>
      </c>
      <c r="F20" s="716">
        <f t="shared" si="1"/>
        <v>269.73901445242399</v>
      </c>
      <c r="G20" s="716">
        <f t="shared" si="1"/>
        <v>0</v>
      </c>
      <c r="H20" s="716">
        <f t="shared" si="1"/>
        <v>45860.313117696969</v>
      </c>
      <c r="I20" s="716">
        <f t="shared" si="1"/>
        <v>10501.132670692316</v>
      </c>
      <c r="J20" s="716">
        <f t="shared" si="1"/>
        <v>0</v>
      </c>
      <c r="K20" s="716">
        <f t="shared" si="1"/>
        <v>0</v>
      </c>
      <c r="L20" s="716">
        <f t="shared" si="1"/>
        <v>0</v>
      </c>
      <c r="M20" s="716">
        <f t="shared" si="1"/>
        <v>0</v>
      </c>
      <c r="N20" s="716">
        <f t="shared" si="1"/>
        <v>2522.1372343813819</v>
      </c>
      <c r="O20" s="716">
        <f t="shared" si="1"/>
        <v>0</v>
      </c>
      <c r="P20" s="716">
        <f t="shared" si="1"/>
        <v>0</v>
      </c>
      <c r="Q20" s="717">
        <f t="shared" si="1"/>
        <v>0</v>
      </c>
      <c r="R20" s="718">
        <f t="shared" si="1"/>
        <v>59159.535738552302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2953.9029999999998</v>
      </c>
      <c r="D22" s="712">
        <f>+landbouw!C8</f>
        <v>0</v>
      </c>
      <c r="E22" s="712">
        <f>+landbouw!D8</f>
        <v>2468.1705012959756</v>
      </c>
      <c r="F22" s="712">
        <f>+landbouw!E8</f>
        <v>27.827745439933231</v>
      </c>
      <c r="G22" s="712">
        <f>+landbouw!F8</f>
        <v>9639.5658033112995</v>
      </c>
      <c r="H22" s="712">
        <f>+landbouw!G8</f>
        <v>0</v>
      </c>
      <c r="I22" s="712">
        <f>+landbouw!H8</f>
        <v>0</v>
      </c>
      <c r="J22" s="712">
        <f>+landbouw!I8</f>
        <v>0</v>
      </c>
      <c r="K22" s="712">
        <f>+landbouw!J8</f>
        <v>365.41216888143208</v>
      </c>
      <c r="L22" s="712">
        <f>+landbouw!K8</f>
        <v>0</v>
      </c>
      <c r="M22" s="712">
        <f>+landbouw!L8</f>
        <v>0</v>
      </c>
      <c r="N22" s="712">
        <f>+landbouw!M8</f>
        <v>0</v>
      </c>
      <c r="O22" s="712">
        <f>+landbouw!N8</f>
        <v>0</v>
      </c>
      <c r="P22" s="712">
        <f>+landbouw!O8</f>
        <v>0</v>
      </c>
      <c r="Q22" s="713">
        <f>+landbouw!P8</f>
        <v>0</v>
      </c>
      <c r="R22" s="714">
        <f>SUM(C22:Q22)</f>
        <v>15454.879218928641</v>
      </c>
      <c r="S22" s="68"/>
    </row>
    <row r="23" spans="1:19" s="458" customFormat="1" ht="17.25" thickTop="1" thickBot="1">
      <c r="A23" s="719" t="s">
        <v>116</v>
      </c>
      <c r="B23" s="853"/>
      <c r="C23" s="720">
        <f ca="1">C20+C15+C22</f>
        <v>82977.11572715189</v>
      </c>
      <c r="D23" s="720">
        <f t="shared" ref="D23:Q23" ca="1" si="2">D20+D15+D22</f>
        <v>0</v>
      </c>
      <c r="E23" s="720">
        <f t="shared" ca="1" si="2"/>
        <v>81972.18842605027</v>
      </c>
      <c r="F23" s="720">
        <f t="shared" si="2"/>
        <v>13091.254214391929</v>
      </c>
      <c r="G23" s="720">
        <f t="shared" ca="1" si="2"/>
        <v>55369.858862447094</v>
      </c>
      <c r="H23" s="720">
        <f t="shared" si="2"/>
        <v>45860.313117696969</v>
      </c>
      <c r="I23" s="720">
        <f t="shared" si="2"/>
        <v>10501.132670692316</v>
      </c>
      <c r="J23" s="720">
        <f t="shared" si="2"/>
        <v>0</v>
      </c>
      <c r="K23" s="720">
        <f t="shared" si="2"/>
        <v>476.50122086703277</v>
      </c>
      <c r="L23" s="720">
        <f t="shared" si="2"/>
        <v>0</v>
      </c>
      <c r="M23" s="720">
        <f t="shared" ca="1" si="2"/>
        <v>0</v>
      </c>
      <c r="N23" s="720">
        <f t="shared" si="2"/>
        <v>2522.1372343813819</v>
      </c>
      <c r="O23" s="720">
        <f t="shared" ca="1" si="2"/>
        <v>26999.779187639186</v>
      </c>
      <c r="P23" s="720">
        <f t="shared" si="2"/>
        <v>70.350000000000009</v>
      </c>
      <c r="Q23" s="721">
        <f t="shared" si="2"/>
        <v>286</v>
      </c>
      <c r="R23" s="722">
        <f ca="1">R20+R15+R22</f>
        <v>320126.63066131802</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2903.9420651631112</v>
      </c>
      <c r="D36" s="703">
        <f ca="1">tertiair!C20</f>
        <v>0</v>
      </c>
      <c r="E36" s="703">
        <f ca="1">tertiair!D20</f>
        <v>2710.1087659946925</v>
      </c>
      <c r="F36" s="703">
        <f>tertiair!E20</f>
        <v>29.057208614817753</v>
      </c>
      <c r="G36" s="703">
        <f ca="1">tertiair!F20</f>
        <v>766.98243280846145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6410.0904725810824</v>
      </c>
    </row>
    <row r="37" spans="1:18">
      <c r="A37" s="874" t="s">
        <v>225</v>
      </c>
      <c r="B37" s="881"/>
      <c r="C37" s="703">
        <f ca="1">huishoudens!B12</f>
        <v>7957.4759150720374</v>
      </c>
      <c r="D37" s="703">
        <f ca="1">huishoudens!C12</f>
        <v>0</v>
      </c>
      <c r="E37" s="703">
        <f>huishoudens!D12</f>
        <v>12720.972468210435</v>
      </c>
      <c r="F37" s="703">
        <f>huishoudens!E12</f>
        <v>2825.6722975475523</v>
      </c>
      <c r="G37" s="703">
        <f>huishoudens!F12</f>
        <v>7227.5039881432813</v>
      </c>
      <c r="H37" s="703">
        <f>huishoudens!G12</f>
        <v>0</v>
      </c>
      <c r="I37" s="703">
        <f>huishoudens!H12</f>
        <v>0</v>
      </c>
      <c r="J37" s="703">
        <f>huishoudens!I12</f>
        <v>0</v>
      </c>
      <c r="K37" s="703">
        <f>huishoudens!J12</f>
        <v>30.162198589599207</v>
      </c>
      <c r="L37" s="703">
        <f>huishoudens!K12</f>
        <v>0</v>
      </c>
      <c r="M37" s="703">
        <f>huishoudens!L12</f>
        <v>0</v>
      </c>
      <c r="N37" s="703">
        <f>huishoudens!M12</f>
        <v>0</v>
      </c>
      <c r="O37" s="703">
        <f>huishoudens!N12</f>
        <v>0</v>
      </c>
      <c r="P37" s="703">
        <f>huishoudens!O12</f>
        <v>0</v>
      </c>
      <c r="Q37" s="813">
        <f>huishoudens!P12</f>
        <v>0</v>
      </c>
      <c r="R37" s="906">
        <f ca="1">SUM(C37:Q37)</f>
        <v>30761.786867562907</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5149.3886340786203</v>
      </c>
      <c r="D39" s="703">
        <f ca="1">industrie!C22</f>
        <v>0</v>
      </c>
      <c r="E39" s="703">
        <f>industrie!D22</f>
        <v>627.75957483941249</v>
      </c>
      <c r="F39" s="703">
        <f>industrie!E22</f>
        <v>49.437546009033085</v>
      </c>
      <c r="G39" s="703">
        <f>industrie!F22</f>
        <v>4215.5018258375158</v>
      </c>
      <c r="H39" s="703">
        <f>industrie!G22</f>
        <v>0</v>
      </c>
      <c r="I39" s="703">
        <f>industrie!H22</f>
        <v>0</v>
      </c>
      <c r="J39" s="703">
        <f>industrie!I22</f>
        <v>0</v>
      </c>
      <c r="K39" s="703">
        <f>industrie!J22</f>
        <v>9.1633258133034232</v>
      </c>
      <c r="L39" s="703">
        <f>industrie!K22</f>
        <v>0</v>
      </c>
      <c r="M39" s="703">
        <f>industrie!L22</f>
        <v>0</v>
      </c>
      <c r="N39" s="703">
        <f>industrie!M22</f>
        <v>0</v>
      </c>
      <c r="O39" s="703">
        <f>industrie!N22</f>
        <v>0</v>
      </c>
      <c r="P39" s="703">
        <f>industrie!O22</f>
        <v>0</v>
      </c>
      <c r="Q39" s="813">
        <f>industrie!P22</f>
        <v>0</v>
      </c>
      <c r="R39" s="907">
        <f ca="1">SUM(C39:Q39)</f>
        <v>10051.250906577887</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16010.806614313769</v>
      </c>
      <c r="D41" s="748">
        <f t="shared" ref="D41:R41" ca="1" si="4">SUM(D35:D40)</f>
        <v>0</v>
      </c>
      <c r="E41" s="748">
        <f t="shared" ca="1" si="4"/>
        <v>16058.840809044541</v>
      </c>
      <c r="F41" s="748">
        <f t="shared" si="4"/>
        <v>2904.1670521714032</v>
      </c>
      <c r="G41" s="748">
        <f t="shared" ca="1" si="4"/>
        <v>12209.988246789258</v>
      </c>
      <c r="H41" s="748">
        <f t="shared" si="4"/>
        <v>0</v>
      </c>
      <c r="I41" s="748">
        <f t="shared" si="4"/>
        <v>0</v>
      </c>
      <c r="J41" s="748">
        <f t="shared" si="4"/>
        <v>0</v>
      </c>
      <c r="K41" s="748">
        <f t="shared" si="4"/>
        <v>39.32552440290263</v>
      </c>
      <c r="L41" s="748">
        <f t="shared" si="4"/>
        <v>0</v>
      </c>
      <c r="M41" s="748">
        <f t="shared" ca="1" si="4"/>
        <v>0</v>
      </c>
      <c r="N41" s="748">
        <f t="shared" si="4"/>
        <v>0</v>
      </c>
      <c r="O41" s="748">
        <f t="shared" ca="1" si="4"/>
        <v>0</v>
      </c>
      <c r="P41" s="748">
        <f t="shared" si="4"/>
        <v>0</v>
      </c>
      <c r="Q41" s="749">
        <f t="shared" si="4"/>
        <v>0</v>
      </c>
      <c r="R41" s="750">
        <f t="shared" ca="1" si="4"/>
        <v>47223.128246721877</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164.16989405316053</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164.16989405316053</v>
      </c>
    </row>
    <row r="45" spans="1:18" ht="15" thickBot="1">
      <c r="A45" s="877" t="s">
        <v>307</v>
      </c>
      <c r="B45" s="887"/>
      <c r="C45" s="712">
        <f ca="1">transport!B18</f>
        <v>0.28165389545201253</v>
      </c>
      <c r="D45" s="712">
        <f>transport!C18</f>
        <v>0</v>
      </c>
      <c r="E45" s="712">
        <f>transport!D18</f>
        <v>0.97081175582737778</v>
      </c>
      <c r="F45" s="712">
        <f>transport!E18</f>
        <v>61.230756280700248</v>
      </c>
      <c r="G45" s="712">
        <f>transport!F18</f>
        <v>0</v>
      </c>
      <c r="H45" s="712">
        <f>transport!G18</f>
        <v>12080.533708371931</v>
      </c>
      <c r="I45" s="712">
        <f>transport!H18</f>
        <v>2614.7820350023867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14757.798965306298</v>
      </c>
    </row>
    <row r="46" spans="1:18" ht="15.75" thickBot="1">
      <c r="A46" s="875" t="s">
        <v>230</v>
      </c>
      <c r="B46" s="888"/>
      <c r="C46" s="748">
        <f t="shared" ref="C46:R46" ca="1" si="5">SUM(C43:C45)</f>
        <v>0.28165389545201253</v>
      </c>
      <c r="D46" s="748">
        <f t="shared" ca="1" si="5"/>
        <v>0</v>
      </c>
      <c r="E46" s="748">
        <f t="shared" si="5"/>
        <v>0.97081175582737778</v>
      </c>
      <c r="F46" s="748">
        <f t="shared" si="5"/>
        <v>61.230756280700248</v>
      </c>
      <c r="G46" s="748">
        <f t="shared" si="5"/>
        <v>0</v>
      </c>
      <c r="H46" s="748">
        <f t="shared" si="5"/>
        <v>12244.703602425092</v>
      </c>
      <c r="I46" s="748">
        <f t="shared" si="5"/>
        <v>2614.7820350023867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14921.968859359458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591.01853146019403</v>
      </c>
      <c r="D48" s="703">
        <f ca="1">+landbouw!C12</f>
        <v>0</v>
      </c>
      <c r="E48" s="703">
        <f>+landbouw!D12</f>
        <v>498.5704412617871</v>
      </c>
      <c r="F48" s="703">
        <f>+landbouw!E12</f>
        <v>6.3168982148648434</v>
      </c>
      <c r="G48" s="703">
        <f>+landbouw!F12</f>
        <v>2573.764069484117</v>
      </c>
      <c r="H48" s="703">
        <f>+landbouw!G12</f>
        <v>0</v>
      </c>
      <c r="I48" s="703">
        <f>+landbouw!H12</f>
        <v>0</v>
      </c>
      <c r="J48" s="703">
        <f>+landbouw!I12</f>
        <v>0</v>
      </c>
      <c r="K48" s="703">
        <f>+landbouw!J12</f>
        <v>129.35590778402695</v>
      </c>
      <c r="L48" s="703">
        <f>+landbouw!K12</f>
        <v>0</v>
      </c>
      <c r="M48" s="703">
        <f>+landbouw!L12</f>
        <v>0</v>
      </c>
      <c r="N48" s="703">
        <f>+landbouw!M12</f>
        <v>0</v>
      </c>
      <c r="O48" s="703">
        <f>+landbouw!N12</f>
        <v>0</v>
      </c>
      <c r="P48" s="703">
        <f>+landbouw!O12</f>
        <v>0</v>
      </c>
      <c r="Q48" s="704">
        <f>+landbouw!P12</f>
        <v>0</v>
      </c>
      <c r="R48" s="746">
        <f ca="1">SUM(C48:Q48)</f>
        <v>3799.0258482049899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16602.106799669415</v>
      </c>
      <c r="D53" s="758">
        <f t="shared" ref="D53:Q53" ca="1" si="6">D41+D46+D48</f>
        <v>0</v>
      </c>
      <c r="E53" s="758">
        <f t="shared" ca="1" si="6"/>
        <v>16558.382062062155</v>
      </c>
      <c r="F53" s="758">
        <f t="shared" si="6"/>
        <v>2971.7147066669686</v>
      </c>
      <c r="G53" s="758">
        <f t="shared" ca="1" si="6"/>
        <v>14783.752316273376</v>
      </c>
      <c r="H53" s="758">
        <f t="shared" si="6"/>
        <v>12244.703602425092</v>
      </c>
      <c r="I53" s="758">
        <f t="shared" si="6"/>
        <v>2614.7820350023867</v>
      </c>
      <c r="J53" s="758">
        <f t="shared" si="6"/>
        <v>0</v>
      </c>
      <c r="K53" s="758">
        <f t="shared" si="6"/>
        <v>168.68143218692958</v>
      </c>
      <c r="L53" s="758">
        <f t="shared" si="6"/>
        <v>0</v>
      </c>
      <c r="M53" s="758">
        <f t="shared" ca="1" si="6"/>
        <v>0</v>
      </c>
      <c r="N53" s="758">
        <f t="shared" si="6"/>
        <v>0</v>
      </c>
      <c r="O53" s="758">
        <f t="shared" ca="1" si="6"/>
        <v>0</v>
      </c>
      <c r="P53" s="758">
        <f>P41+P46+P48</f>
        <v>0</v>
      </c>
      <c r="Q53" s="759">
        <f t="shared" si="6"/>
        <v>0</v>
      </c>
      <c r="R53" s="760">
        <f ca="1">R41+R46+R48</f>
        <v>65944.122954286315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0.20008054816295393</v>
      </c>
      <c r="D55" s="824">
        <f t="shared" ca="1" si="7"/>
        <v>0</v>
      </c>
      <c r="E55" s="824">
        <f t="shared" ca="1" si="7"/>
        <v>0.20200000000000001</v>
      </c>
      <c r="F55" s="824">
        <f t="shared" si="7"/>
        <v>0.22700000000000006</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3393.7085912764041</v>
      </c>
      <c r="C64" s="780">
        <f>'lokale energieproductie'!B4</f>
        <v>3393.7085912764041</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4460.7519337514323</v>
      </c>
      <c r="C66" s="780">
        <f>'lokale energieproductie'!B6</f>
        <v>4460.7519337514323</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7854.4605250278364</v>
      </c>
      <c r="C69" s="788">
        <f>SUM(C64:C68)</f>
        <v>7854.4605250278364</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39771.362024613896</v>
      </c>
      <c r="C4" s="462">
        <f>huishoudens!C8</f>
        <v>0</v>
      </c>
      <c r="D4" s="462">
        <f>huishoudens!D8</f>
        <v>62975.111228764523</v>
      </c>
      <c r="E4" s="462">
        <f>huishoudens!E8</f>
        <v>12447.895583909922</v>
      </c>
      <c r="F4" s="462">
        <f>huishoudens!F8</f>
        <v>27069.30332637933</v>
      </c>
      <c r="G4" s="462">
        <f>huishoudens!G8</f>
        <v>0</v>
      </c>
      <c r="H4" s="462">
        <f>huishoudens!H8</f>
        <v>0</v>
      </c>
      <c r="I4" s="462">
        <f>huishoudens!I8</f>
        <v>0</v>
      </c>
      <c r="J4" s="462">
        <f>huishoudens!J8</f>
        <v>85.203950818076862</v>
      </c>
      <c r="K4" s="462">
        <f>huishoudens!K8</f>
        <v>0</v>
      </c>
      <c r="L4" s="462">
        <f>huishoudens!L8</f>
        <v>0</v>
      </c>
      <c r="M4" s="462">
        <f>huishoudens!M8</f>
        <v>0</v>
      </c>
      <c r="N4" s="462">
        <f>huishoudens!N8</f>
        <v>23558.057524002255</v>
      </c>
      <c r="O4" s="462">
        <f>huishoudens!O8</f>
        <v>70.350000000000009</v>
      </c>
      <c r="P4" s="463">
        <f>huishoudens!P8</f>
        <v>286</v>
      </c>
      <c r="Q4" s="464">
        <f>SUM(B4:P4)</f>
        <v>166263.28363848798</v>
      </c>
    </row>
    <row r="5" spans="1:17">
      <c r="A5" s="461" t="s">
        <v>156</v>
      </c>
      <c r="B5" s="462">
        <f ca="1">tertiair!B16</f>
        <v>13126.724</v>
      </c>
      <c r="C5" s="462">
        <f ca="1">tertiair!C16</f>
        <v>0</v>
      </c>
      <c r="D5" s="462">
        <f ca="1">tertiair!D16</f>
        <v>13416.380029676695</v>
      </c>
      <c r="E5" s="462">
        <f>tertiair!E16</f>
        <v>128.00532429435134</v>
      </c>
      <c r="F5" s="462">
        <f ca="1">tertiair!F16</f>
        <v>2872.5933813050988</v>
      </c>
      <c r="G5" s="462">
        <f>tertiair!G16</f>
        <v>0</v>
      </c>
      <c r="H5" s="462">
        <f>tertiair!H16</f>
        <v>0</v>
      </c>
      <c r="I5" s="462">
        <f>tertiair!I16</f>
        <v>0</v>
      </c>
      <c r="J5" s="462">
        <f>tertiair!J16</f>
        <v>0</v>
      </c>
      <c r="K5" s="462">
        <f>tertiair!K16</f>
        <v>0</v>
      </c>
      <c r="L5" s="462">
        <f ca="1">tertiair!L16</f>
        <v>0</v>
      </c>
      <c r="M5" s="462">
        <f>tertiair!M16</f>
        <v>0</v>
      </c>
      <c r="N5" s="462">
        <f ca="1">tertiair!N16</f>
        <v>1329.4977509153248</v>
      </c>
      <c r="O5" s="462">
        <f>tertiair!O16</f>
        <v>0</v>
      </c>
      <c r="P5" s="463">
        <f>tertiair!P16</f>
        <v>0</v>
      </c>
      <c r="Q5" s="461">
        <f t="shared" ref="Q5:Q13" ca="1" si="0">SUM(B5:P5)</f>
        <v>30873.200486191468</v>
      </c>
    </row>
    <row r="6" spans="1:17">
      <c r="A6" s="461" t="s">
        <v>194</v>
      </c>
      <c r="B6" s="462">
        <f>'openbare verlichting'!B8</f>
        <v>1387.1410000000001</v>
      </c>
      <c r="C6" s="462"/>
      <c r="D6" s="462"/>
      <c r="E6" s="462"/>
      <c r="F6" s="462"/>
      <c r="G6" s="462"/>
      <c r="H6" s="462"/>
      <c r="I6" s="462"/>
      <c r="J6" s="462"/>
      <c r="K6" s="462"/>
      <c r="L6" s="462"/>
      <c r="M6" s="462"/>
      <c r="N6" s="462"/>
      <c r="O6" s="462"/>
      <c r="P6" s="463"/>
      <c r="Q6" s="461">
        <f t="shared" si="0"/>
        <v>1387.1410000000001</v>
      </c>
    </row>
    <row r="7" spans="1:17">
      <c r="A7" s="461" t="s">
        <v>112</v>
      </c>
      <c r="B7" s="462">
        <f>landbouw!B8</f>
        <v>2953.9029999999998</v>
      </c>
      <c r="C7" s="462">
        <f>landbouw!C8</f>
        <v>0</v>
      </c>
      <c r="D7" s="462">
        <f>landbouw!D8</f>
        <v>2468.1705012959756</v>
      </c>
      <c r="E7" s="462">
        <f>landbouw!E8</f>
        <v>27.827745439933231</v>
      </c>
      <c r="F7" s="462">
        <f>landbouw!F8</f>
        <v>9639.5658033112995</v>
      </c>
      <c r="G7" s="462">
        <f>landbouw!G8</f>
        <v>0</v>
      </c>
      <c r="H7" s="462">
        <f>landbouw!H8</f>
        <v>0</v>
      </c>
      <c r="I7" s="462">
        <f>landbouw!I8</f>
        <v>0</v>
      </c>
      <c r="J7" s="462">
        <f>landbouw!J8</f>
        <v>365.41216888143208</v>
      </c>
      <c r="K7" s="462">
        <f>landbouw!K8</f>
        <v>0</v>
      </c>
      <c r="L7" s="462">
        <f>landbouw!L8</f>
        <v>0</v>
      </c>
      <c r="M7" s="462">
        <f>landbouw!M8</f>
        <v>0</v>
      </c>
      <c r="N7" s="462">
        <f>landbouw!N8</f>
        <v>0</v>
      </c>
      <c r="O7" s="462">
        <f>landbouw!O8</f>
        <v>0</v>
      </c>
      <c r="P7" s="463">
        <f>landbouw!P8</f>
        <v>0</v>
      </c>
      <c r="Q7" s="461">
        <f t="shared" si="0"/>
        <v>15454.879218928641</v>
      </c>
    </row>
    <row r="8" spans="1:17">
      <c r="A8" s="461" t="s">
        <v>685</v>
      </c>
      <c r="B8" s="462">
        <f>industrie!B18</f>
        <v>25736.578000000001</v>
      </c>
      <c r="C8" s="462">
        <f>industrie!C18</f>
        <v>0</v>
      </c>
      <c r="D8" s="462">
        <f>industrie!D18</f>
        <v>3107.7206675218436</v>
      </c>
      <c r="E8" s="462">
        <f>industrie!E18</f>
        <v>217.78654629529993</v>
      </c>
      <c r="F8" s="462">
        <f>industrie!F18</f>
        <v>15788.396351451369</v>
      </c>
      <c r="G8" s="462">
        <f>industrie!G18</f>
        <v>0</v>
      </c>
      <c r="H8" s="462">
        <f>industrie!H18</f>
        <v>0</v>
      </c>
      <c r="I8" s="462">
        <f>industrie!I18</f>
        <v>0</v>
      </c>
      <c r="J8" s="462">
        <f>industrie!J18</f>
        <v>25.885101167523796</v>
      </c>
      <c r="K8" s="462">
        <f>industrie!K18</f>
        <v>0</v>
      </c>
      <c r="L8" s="462">
        <f>industrie!L18</f>
        <v>0</v>
      </c>
      <c r="M8" s="462">
        <f>industrie!M18</f>
        <v>0</v>
      </c>
      <c r="N8" s="462">
        <f>industrie!N18</f>
        <v>2112.2239127216039</v>
      </c>
      <c r="O8" s="462">
        <f>industrie!O18</f>
        <v>0</v>
      </c>
      <c r="P8" s="463">
        <f>industrie!P18</f>
        <v>0</v>
      </c>
      <c r="Q8" s="461">
        <f t="shared" si="0"/>
        <v>46988.590579157637</v>
      </c>
    </row>
    <row r="9" spans="1:17" s="467" customFormat="1">
      <c r="A9" s="465" t="s">
        <v>579</v>
      </c>
      <c r="B9" s="466">
        <f>transport!B14</f>
        <v>1.407702537992958</v>
      </c>
      <c r="C9" s="466">
        <f>transport!C14</f>
        <v>0</v>
      </c>
      <c r="D9" s="466">
        <f>transport!D14</f>
        <v>4.805998791224642</v>
      </c>
      <c r="E9" s="466">
        <f>transport!E14</f>
        <v>269.73901445242399</v>
      </c>
      <c r="F9" s="466">
        <f>transport!F14</f>
        <v>0</v>
      </c>
      <c r="G9" s="466">
        <f>transport!G14</f>
        <v>45245.444600643932</v>
      </c>
      <c r="H9" s="466">
        <f>transport!H14</f>
        <v>10501.132670692316</v>
      </c>
      <c r="I9" s="466">
        <f>transport!I14</f>
        <v>0</v>
      </c>
      <c r="J9" s="466">
        <f>transport!J14</f>
        <v>0</v>
      </c>
      <c r="K9" s="466">
        <f>transport!K14</f>
        <v>0</v>
      </c>
      <c r="L9" s="466">
        <f>transport!L14</f>
        <v>0</v>
      </c>
      <c r="M9" s="466">
        <f>transport!M14</f>
        <v>2495.1373435085193</v>
      </c>
      <c r="N9" s="466">
        <f>transport!N14</f>
        <v>0</v>
      </c>
      <c r="O9" s="466">
        <f>transport!O14</f>
        <v>0</v>
      </c>
      <c r="P9" s="466">
        <f>transport!P14</f>
        <v>0</v>
      </c>
      <c r="Q9" s="465">
        <f>SUM(B9:P9)</f>
        <v>58517.667330626406</v>
      </c>
    </row>
    <row r="10" spans="1:17">
      <c r="A10" s="461" t="s">
        <v>569</v>
      </c>
      <c r="B10" s="462">
        <f>transport!B54</f>
        <v>0</v>
      </c>
      <c r="C10" s="462">
        <f>transport!C54</f>
        <v>0</v>
      </c>
      <c r="D10" s="462">
        <f>transport!D54</f>
        <v>0</v>
      </c>
      <c r="E10" s="462">
        <f>transport!E54</f>
        <v>0</v>
      </c>
      <c r="F10" s="462">
        <f>transport!F54</f>
        <v>0</v>
      </c>
      <c r="G10" s="462">
        <f>transport!G54</f>
        <v>614.8685170530357</v>
      </c>
      <c r="H10" s="462">
        <f>transport!H54</f>
        <v>0</v>
      </c>
      <c r="I10" s="462">
        <f>transport!I54</f>
        <v>0</v>
      </c>
      <c r="J10" s="462">
        <f>transport!J54</f>
        <v>0</v>
      </c>
      <c r="K10" s="462">
        <f>transport!K54</f>
        <v>0</v>
      </c>
      <c r="L10" s="462">
        <f>transport!L54</f>
        <v>0</v>
      </c>
      <c r="M10" s="462">
        <f>transport!M54</f>
        <v>26.999890872862565</v>
      </c>
      <c r="N10" s="462">
        <f>transport!N54</f>
        <v>0</v>
      </c>
      <c r="O10" s="462">
        <f>transport!O54</f>
        <v>0</v>
      </c>
      <c r="P10" s="463">
        <f>transport!P54</f>
        <v>0</v>
      </c>
      <c r="Q10" s="461">
        <f t="shared" si="0"/>
        <v>641.86840792589828</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82977.115727151904</v>
      </c>
      <c r="C14" s="472">
        <f t="shared" ref="C14:Q14" ca="1" si="1">SUM(C4:C13)</f>
        <v>0</v>
      </c>
      <c r="D14" s="472">
        <f t="shared" ca="1" si="1"/>
        <v>81972.18842605027</v>
      </c>
      <c r="E14" s="472">
        <f t="shared" si="1"/>
        <v>13091.254214391929</v>
      </c>
      <c r="F14" s="472">
        <f t="shared" ca="1" si="1"/>
        <v>55369.858862447094</v>
      </c>
      <c r="G14" s="472">
        <f t="shared" si="1"/>
        <v>45860.313117696969</v>
      </c>
      <c r="H14" s="472">
        <f t="shared" si="1"/>
        <v>10501.132670692316</v>
      </c>
      <c r="I14" s="472">
        <f t="shared" si="1"/>
        <v>0</v>
      </c>
      <c r="J14" s="472">
        <f t="shared" si="1"/>
        <v>476.50122086703271</v>
      </c>
      <c r="K14" s="472">
        <f t="shared" si="1"/>
        <v>0</v>
      </c>
      <c r="L14" s="472">
        <f t="shared" ca="1" si="1"/>
        <v>0</v>
      </c>
      <c r="M14" s="472">
        <f t="shared" si="1"/>
        <v>2522.1372343813819</v>
      </c>
      <c r="N14" s="472">
        <f t="shared" ca="1" si="1"/>
        <v>26999.779187639186</v>
      </c>
      <c r="O14" s="472">
        <f t="shared" si="1"/>
        <v>70.350000000000009</v>
      </c>
      <c r="P14" s="473">
        <f t="shared" si="1"/>
        <v>286</v>
      </c>
      <c r="Q14" s="473">
        <f t="shared" ca="1" si="1"/>
        <v>320126.63066131802</v>
      </c>
    </row>
    <row r="16" spans="1:17">
      <c r="A16" s="475" t="s">
        <v>574</v>
      </c>
      <c r="B16" s="829">
        <f ca="1">huishoudens!B10</f>
        <v>0.20008054816295393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7957.4759150720374</v>
      </c>
      <c r="C21" s="462">
        <f t="shared" ref="C21:C30" ca="1" si="3">C4*$C$16</f>
        <v>0</v>
      </c>
      <c r="D21" s="462">
        <f t="shared" ref="D21:D30" si="4">D4*$D$16</f>
        <v>12720.972468210435</v>
      </c>
      <c r="E21" s="462">
        <f t="shared" ref="E21:E30" si="5">E4*$E$16</f>
        <v>2825.6722975475523</v>
      </c>
      <c r="F21" s="462">
        <f t="shared" ref="F21:F30" si="6">F4*$F$16</f>
        <v>7227.5039881432813</v>
      </c>
      <c r="G21" s="462">
        <f t="shared" ref="G21:G30" si="7">G4*$G$16</f>
        <v>0</v>
      </c>
      <c r="H21" s="462">
        <f t="shared" ref="H21:H30" si="8">H4*$H$16</f>
        <v>0</v>
      </c>
      <c r="I21" s="462">
        <f t="shared" ref="I21:I30" si="9">I4*$I$16</f>
        <v>0</v>
      </c>
      <c r="J21" s="462">
        <f t="shared" ref="J21:J30" si="10">J4*$J$16</f>
        <v>30.162198589599207</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30761.786867562907</v>
      </c>
    </row>
    <row r="22" spans="1:17">
      <c r="A22" s="461" t="s">
        <v>156</v>
      </c>
      <c r="B22" s="462">
        <f t="shared" ca="1" si="2"/>
        <v>2626.4021335038033</v>
      </c>
      <c r="C22" s="462">
        <f t="shared" ca="1" si="3"/>
        <v>0</v>
      </c>
      <c r="D22" s="462">
        <f t="shared" ca="1" si="4"/>
        <v>2710.1087659946925</v>
      </c>
      <c r="E22" s="462">
        <f t="shared" si="5"/>
        <v>29.057208614817753</v>
      </c>
      <c r="F22" s="462">
        <f t="shared" ca="1" si="6"/>
        <v>766.98243280846145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6132.5505409217749</v>
      </c>
    </row>
    <row r="23" spans="1:17">
      <c r="A23" s="461" t="s">
        <v>194</v>
      </c>
      <c r="B23" s="462">
        <f t="shared" ca="1" si="2"/>
        <v>277.53993165930808</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277.53993165930808</v>
      </c>
    </row>
    <row r="24" spans="1:17">
      <c r="A24" s="461" t="s">
        <v>112</v>
      </c>
      <c r="B24" s="462">
        <f t="shared" ca="1" si="2"/>
        <v>591.01853146019403</v>
      </c>
      <c r="C24" s="462">
        <f t="shared" ca="1" si="3"/>
        <v>0</v>
      </c>
      <c r="D24" s="462">
        <f t="shared" si="4"/>
        <v>498.5704412617871</v>
      </c>
      <c r="E24" s="462">
        <f t="shared" si="5"/>
        <v>6.3168982148648434</v>
      </c>
      <c r="F24" s="462">
        <f t="shared" si="6"/>
        <v>2573.764069484117</v>
      </c>
      <c r="G24" s="462">
        <f t="shared" si="7"/>
        <v>0</v>
      </c>
      <c r="H24" s="462">
        <f t="shared" si="8"/>
        <v>0</v>
      </c>
      <c r="I24" s="462">
        <f t="shared" si="9"/>
        <v>0</v>
      </c>
      <c r="J24" s="462">
        <f t="shared" si="10"/>
        <v>129.35590778402695</v>
      </c>
      <c r="K24" s="462">
        <f t="shared" si="11"/>
        <v>0</v>
      </c>
      <c r="L24" s="462">
        <f t="shared" si="12"/>
        <v>0</v>
      </c>
      <c r="M24" s="462">
        <f t="shared" si="13"/>
        <v>0</v>
      </c>
      <c r="N24" s="462">
        <f t="shared" si="14"/>
        <v>0</v>
      </c>
      <c r="O24" s="462">
        <f t="shared" si="15"/>
        <v>0</v>
      </c>
      <c r="P24" s="463">
        <f t="shared" si="16"/>
        <v>0</v>
      </c>
      <c r="Q24" s="461">
        <f t="shared" ca="1" si="17"/>
        <v>3799.0258482049899</v>
      </c>
    </row>
    <row r="25" spans="1:17">
      <c r="A25" s="461" t="s">
        <v>685</v>
      </c>
      <c r="B25" s="462">
        <f t="shared" ca="1" si="2"/>
        <v>5149.3886340786203</v>
      </c>
      <c r="C25" s="462">
        <f t="shared" ca="1" si="3"/>
        <v>0</v>
      </c>
      <c r="D25" s="462">
        <f t="shared" si="4"/>
        <v>627.75957483941249</v>
      </c>
      <c r="E25" s="462">
        <f t="shared" si="5"/>
        <v>49.437546009033085</v>
      </c>
      <c r="F25" s="462">
        <f t="shared" si="6"/>
        <v>4215.5018258375158</v>
      </c>
      <c r="G25" s="462">
        <f t="shared" si="7"/>
        <v>0</v>
      </c>
      <c r="H25" s="462">
        <f t="shared" si="8"/>
        <v>0</v>
      </c>
      <c r="I25" s="462">
        <f t="shared" si="9"/>
        <v>0</v>
      </c>
      <c r="J25" s="462">
        <f t="shared" si="10"/>
        <v>9.1633258133034232</v>
      </c>
      <c r="K25" s="462">
        <f t="shared" si="11"/>
        <v>0</v>
      </c>
      <c r="L25" s="462">
        <f t="shared" si="12"/>
        <v>0</v>
      </c>
      <c r="M25" s="462">
        <f t="shared" si="13"/>
        <v>0</v>
      </c>
      <c r="N25" s="462">
        <f t="shared" si="14"/>
        <v>0</v>
      </c>
      <c r="O25" s="462">
        <f t="shared" si="15"/>
        <v>0</v>
      </c>
      <c r="P25" s="463">
        <f t="shared" si="16"/>
        <v>0</v>
      </c>
      <c r="Q25" s="461">
        <f t="shared" ca="1" si="17"/>
        <v>10051.250906577887</v>
      </c>
    </row>
    <row r="26" spans="1:17" s="467" customFormat="1">
      <c r="A26" s="465" t="s">
        <v>579</v>
      </c>
      <c r="B26" s="823">
        <f t="shared" ca="1" si="2"/>
        <v>0.28165389545201253</v>
      </c>
      <c r="C26" s="466">
        <f t="shared" ca="1" si="3"/>
        <v>0</v>
      </c>
      <c r="D26" s="466">
        <f t="shared" si="4"/>
        <v>0.97081175582737778</v>
      </c>
      <c r="E26" s="466">
        <f t="shared" si="5"/>
        <v>61.230756280700248</v>
      </c>
      <c r="F26" s="466">
        <f t="shared" si="6"/>
        <v>0</v>
      </c>
      <c r="G26" s="466">
        <f t="shared" si="7"/>
        <v>12080.533708371931</v>
      </c>
      <c r="H26" s="466">
        <f t="shared" si="8"/>
        <v>2614.7820350023867</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14757.798965306298</v>
      </c>
    </row>
    <row r="27" spans="1:17">
      <c r="A27" s="461" t="s">
        <v>569</v>
      </c>
      <c r="B27" s="462">
        <f t="shared" ca="1" si="2"/>
        <v>0</v>
      </c>
      <c r="C27" s="462">
        <f t="shared" ca="1" si="3"/>
        <v>0</v>
      </c>
      <c r="D27" s="462">
        <f t="shared" si="4"/>
        <v>0</v>
      </c>
      <c r="E27" s="462">
        <f t="shared" si="5"/>
        <v>0</v>
      </c>
      <c r="F27" s="462">
        <f t="shared" si="6"/>
        <v>0</v>
      </c>
      <c r="G27" s="462">
        <f t="shared" si="7"/>
        <v>164.16989405316053</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164.16989405316053</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16602.106799669411</v>
      </c>
      <c r="C31" s="472">
        <f t="shared" ca="1" si="18"/>
        <v>0</v>
      </c>
      <c r="D31" s="472">
        <f t="shared" ca="1" si="18"/>
        <v>16558.382062062155</v>
      </c>
      <c r="E31" s="472">
        <f t="shared" si="18"/>
        <v>2971.7147066669686</v>
      </c>
      <c r="F31" s="472">
        <f t="shared" ca="1" si="18"/>
        <v>14783.752316273374</v>
      </c>
      <c r="G31" s="472">
        <f t="shared" si="18"/>
        <v>12244.703602425092</v>
      </c>
      <c r="H31" s="472">
        <f t="shared" si="18"/>
        <v>2614.7820350023867</v>
      </c>
      <c r="I31" s="472">
        <f t="shared" si="18"/>
        <v>0</v>
      </c>
      <c r="J31" s="472">
        <f t="shared" si="18"/>
        <v>168.68143218692958</v>
      </c>
      <c r="K31" s="472">
        <f t="shared" si="18"/>
        <v>0</v>
      </c>
      <c r="L31" s="472">
        <f t="shared" ca="1" si="18"/>
        <v>0</v>
      </c>
      <c r="M31" s="472">
        <f t="shared" si="18"/>
        <v>0</v>
      </c>
      <c r="N31" s="472">
        <f t="shared" ca="1" si="18"/>
        <v>0</v>
      </c>
      <c r="O31" s="472">
        <f t="shared" si="18"/>
        <v>0</v>
      </c>
      <c r="P31" s="473">
        <f t="shared" si="18"/>
        <v>0</v>
      </c>
      <c r="Q31" s="473">
        <f t="shared" ca="1" si="18"/>
        <v>65944.122954286329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0.20008054816295393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0.20008054816295393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0.20008054816295393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2018-06-27T09:16:38Z</dcterms:modified>
</cp:coreProperties>
</file>