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D12" s="1"/>
  <c r="E48" i="14" s="1"/>
  <c r="C97" i="18"/>
  <c r="I100" s="1"/>
  <c r="H7" s="1"/>
  <c r="I67" i="14" s="1"/>
  <c r="F16" i="16"/>
  <c r="D13" i="15"/>
  <c r="E8" i="16"/>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E31" i="20"/>
  <c r="F43" i="14" s="1"/>
  <c r="H14" i="22"/>
  <c r="F8" i="17"/>
  <c r="G22" i="14" s="1"/>
  <c r="D100" i="18"/>
  <c r="E9" i="14"/>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8" i="17" l="1"/>
  <c r="N5"/>
  <c r="L8"/>
  <c r="L7" i="48" s="1"/>
  <c r="L24" s="1"/>
  <c r="L5" i="17"/>
  <c r="L29" i="48"/>
  <c r="E22" i="14"/>
  <c r="G31" i="20"/>
  <c r="H43" i="14" s="1"/>
  <c r="B100" i="18"/>
  <c r="C7" s="1"/>
  <c r="B35" i="13"/>
  <c r="B47" s="1"/>
  <c r="B19" i="18"/>
  <c r="I16"/>
  <c r="D16" i="15"/>
  <c r="E100" i="18"/>
  <c r="E7" s="1"/>
  <c r="H100"/>
  <c r="K14" i="48"/>
  <c r="F7"/>
  <c r="F24" s="1"/>
  <c r="L30"/>
  <c r="I69" i="14"/>
  <c r="F12" i="17"/>
  <c r="G48" i="14" s="1"/>
  <c r="F100"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M19" i="18"/>
  <c r="D67" i="14" l="1"/>
  <c r="C9" i="18"/>
  <c r="J78" i="14"/>
  <c r="I19" i="18"/>
  <c r="F67" i="14"/>
  <c r="F69" s="1"/>
  <c r="E9" i="18"/>
  <c r="M22" i="14"/>
  <c r="E13"/>
  <c r="E15" s="1"/>
  <c r="E23" s="1"/>
  <c r="L12" i="17"/>
  <c r="M48" i="14" s="1"/>
  <c r="O22"/>
  <c r="R22" s="1"/>
  <c r="N12" i="17"/>
  <c r="O48" i="14" s="1"/>
  <c r="N7" i="48"/>
  <c r="N24" s="1"/>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C78"/>
  <c r="C81" s="1"/>
  <c r="J81"/>
  <c r="M18" i="22"/>
  <c r="N45" i="14" s="1"/>
  <c r="N46" s="1"/>
  <c r="N53" s="1"/>
  <c r="N19"/>
  <c r="P55"/>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K55" s="1"/>
  <c r="O13"/>
  <c r="O15" s="1"/>
  <c r="F13"/>
  <c r="F15" s="1"/>
  <c r="F23" s="1"/>
  <c r="F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<sst xmlns="http://schemas.openxmlformats.org/spreadsheetml/2006/main" count="2038" uniqueCount="900">
  <si>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</si>
  <si>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</si>
  <si>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</si>
  <si>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</si>
  <si>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</si>
  <si>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</si>
  <si>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</si>
  <si>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</si>
  <si>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</si>
  <si>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</si>
  <si>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</si>
  <si>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</si>
  <si>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</si>
  <si>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</si>
  <si>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</si>
  <si>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</si>
  <si>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</si>
  <si>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</si>
  <si>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</si>
  <si>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</si>
  <si>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</si>
  <si>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</si>
  <si>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</si>
  <si>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</si>
  <si>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</si>
  <si>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</si>
  <si>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</si>
  <si>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</si>
  <si>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</si>
  <si>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</si>
  <si>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</si>
  <si>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</si>
  <si>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</si>
  <si>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</si>
  <si>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</si>
  <si>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</si>
  <si>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</si>
  <si>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</si>
  <si>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</si>
  <si>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</si>
  <si>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</si>
  <si>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</si>
  <si>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</si>
  <si>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</si>
  <si>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</si>
  <si>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</si>
  <si>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</si>
  <si>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</si>
  <si>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</si>
  <si>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</si>
  <si>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</si>
  <si>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</si>
  <si>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</si>
  <si>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</si>
  <si>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</si>
  <si>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</si>
  <si>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</si>
  <si>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</si>
  <si>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</si>
  <si>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</si>
  <si>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</si>
  <si>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</si>
  <si>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</si>
  <si>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</si>
  <si>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</si>
  <si>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</si>
  <si>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</si>
  <si>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</si>
  <si>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</si>
  <si>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</si>
  <si>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</si>
  <si>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</si>
  <si>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</si>
  <si>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</si>
  <si>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</si>
  <si>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</si>
  <si>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</si>
  <si>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</si>
  <si>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</si>
  <si>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</si>
  <si>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</si>
  <si>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</si>
  <si>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</si>
  <si>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</si>
  <si>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</si>
  <si>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</si>
  <si>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</si>
  <si>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</si>
  <si>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</si>
  <si>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</si>
  <si>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</si>
  <si>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</si>
  <si>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</si>
  <si>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</si>
  <si>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</si>
  <si>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</si>
  <si>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</si>
  <si>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</si>
  <si>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</si>
  <si>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</si>
  <si>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</si>
  <si>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</si>
  <si>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</si>
  <si>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</si>
  <si>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</si>
  <si>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</si>
  <si>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</si>
  <si>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</si>
  <si>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</si>
  <si>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</si>
  <si>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</si>
  <si>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</si>
  <si>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</si>
  <si>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</si>
  <si>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</si>
  <si>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</si>
  <si>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</si>
  <si>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</si>
  <si>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</si>
  <si>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</si>
  <si>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</si>
  <si>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</si>
  <si>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</si>
  <si>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</si>
  <si>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</si>
  <si>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</si>
  <si>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</si>
  <si>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</si>
  <si>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</si>
  <si>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</si>
  <si>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</si>
  <si>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</si>
  <si>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</si>
  <si>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</si>
  <si>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</si>
  <si>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</si>
  <si>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</si>
  <si>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</si>
  <si>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</si>
  <si>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</si>
  <si>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</si>
  <si>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</si>
  <si>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</si>
  <si>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</si>
  <si>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</si>
  <si>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</si>
  <si>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</si>
  <si>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</si>
  <si>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</si>
  <si>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</si>
  <si>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</si>
  <si>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</si>
  <si>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</si>
  <si>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</si>
  <si>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</si>
  <si>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</si>
  <si>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</si>
  <si>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</si>
  <si>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</si>
  <si>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</si>
  <si>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</si>
  <si>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</si>
  <si>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</si>
  <si>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</si>
  <si>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</si>
  <si>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</si>
  <si>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</si>
  <si>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</si>
  <si>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</si>
  <si>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</si>
  <si>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</si>
  <si>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</si>
  <si>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</si>
  <si>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</si>
  <si>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</si>
  <si>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</si>
  <si>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</si>
  <si>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</si>
  <si>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</si>
  <si>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</si>
  <si>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</si>
  <si>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</si>
  <si>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</si>
  <si>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</si>
  <si>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</si>
  <si>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</si>
  <si>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</si>
  <si>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</si>
  <si>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</si>
  <si>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</si>
  <si>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</si>
  <si>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</si>
  <si>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</si>
  <si>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</si>
  <si>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</si>
  <si>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</si>
  <si>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</si>
  <si>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</si>
  <si>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</si>
  <si>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</si>
  <si>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</si>
  <si>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</si>
  <si>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</si>
  <si>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</si>
  <si>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</si>
  <si>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</si>
  <si>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</si>
  <si>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</si>
  <si>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</si>
  <si>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</si>
  <si>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</si>
  <si>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</si>
  <si>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</si>
  <si>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</si>
  <si>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</si>
  <si>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</si>
  <si>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</si>
  <si>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</si>
  <si>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</si>
  <si>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</si>
  <si>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</si>
  <si>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</si>
  <si>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</si>
  <si>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</si>
  <si>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</si>
  <si>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</si>
  <si>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</si>
  <si>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</si>
  <si>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</si>
  <si>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</si>
  <si>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</si>
  <si>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</si>
  <si>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</si>
  <si>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</si>
  <si>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</si>
  <si>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</si>
  <si>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</si>
  <si>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</si>
  <si>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</si>
  <si>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</si>
  <si>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</si>
  <si>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</si>
  <si>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</si>
  <si>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</si>
  <si>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</si>
  <si>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</si>
  <si>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</si>
  <si>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</si>
  <si>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</si>
  <si>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</si>
  <si>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</si>
  <si>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</si>
  <si>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</si>
  <si>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</si>
  <si>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</si>
  <si>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</si>
  <si>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</si>
  <si>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</si>
  <si>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</si>
  <si>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</si>
  <si>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</si>
  <si>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</si>
  <si>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</si>
  <si>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</si>
  <si>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</si>
  <si>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</si>
  <si>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</si>
  <si>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</si>
  <si>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</si>
  <si>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</si>
  <si>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</si>
  <si>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</si>
  <si>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</si>
  <si>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</si>
  <si>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</si>
  <si>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</si>
  <si>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</si>
  <si>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</si>
  <si>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</si>
  <si>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</si>
  <si>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</si>
  <si>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</si>
  <si>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</si>
  <si>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</si>
  <si>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</si>
  <si>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</si>
  <si>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</si>
  <si>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</si>
  <si>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</si>
  <si>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</si>
  <si>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</si>
  <si>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</si>
  <si>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</si>
  <si>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</si>
  <si>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</si>
  <si>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</si>
  <si>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</si>
  <si>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</si>
  <si>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</si>
  <si>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</si>
  <si>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</si>
  <si>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</si>
  <si>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</si>
  <si>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</si>
  <si>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</si>
  <si>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</si>
  <si>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</si>
  <si>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</si>
  <si>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</si>
  <si>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</si>
  <si>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</si>
  <si>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</si>
  <si>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</si>
  <si>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</si>
  <si>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</si>
  <si>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</si>
  <si>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</si>
  <si>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</si>
  <si>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</si>
  <si>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</si>
  <si>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</si>
  <si>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</si>
  <si>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</si>
  <si>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</si>
  <si>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</si>
  <si>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</si>
  <si>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</si>
  <si>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</si>
  <si>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</si>
  <si>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</si>
  <si>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</si>
  <si>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</si>
  <si>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</si>
  <si>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</si>
  <si>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</si>
  <si>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</si>
  <si>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</si>
  <si>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</si>
  <si>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</si>
  <si>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</si>
  <si>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</si>
  <si>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</si>
  <si>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</si>
  <si>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</si>
  <si>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</si>
  <si>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</si>
  <si>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</si>
  <si>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</si>
  <si>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</si>
  <si>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</si>
  <si>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</si>
  <si>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</si>
  <si>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</si>
  <si>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</si>
  <si>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</si>
  <si>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</si>
  <si>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</si>
  <si>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</si>
  <si>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</si>
  <si>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</si>
  <si>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</si>
  <si>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</si>
  <si>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</si>
  <si>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</si>
  <si>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</si>
  <si>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</si>
  <si>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</si>
  <si>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</si>
  <si>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</si>
  <si>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</si>
  <si>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</si>
  <si>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</si>
  <si>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</si>
  <si>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</si>
  <si>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</si>
  <si>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</si>
  <si>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</si>
  <si>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</si>
  <si>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</si>
  <si>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</si>
  <si>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</si>
  <si>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</si>
  <si>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</si>
  <si>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</si>
  <si>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</si>
  <si>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</si>
  <si>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</si>
  <si>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</si>
  <si>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</si>
  <si>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</si>
  <si>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</si>
  <si>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</si>
  <si>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</si>
  <si>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</si>
  <si>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</si>
  <si>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</si>
  <si>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</si>
  <si>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</si>
  <si>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</si>
  <si>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</si>
  <si>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</si>
  <si>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</si>
  <si>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</si>
  <si>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</si>
  <si>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</si>
  <si>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</si>
  <si>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</si>
  <si>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</si>
  <si>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</si>
  <si>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</si>
  <si>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</si>
  <si>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</si>
  <si>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</si>
  <si>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</si>
  <si>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</si>
  <si>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</si>
  <si>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</si>
  <si>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</si>
  <si>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</si>
  <si>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</si>
  <si>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</si>
  <si>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</si>
  <si>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</si>
  <si>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</si>
  <si>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</si>
  <si>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</si>
  <si>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</si>
  <si>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</si>
  <si>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</si>
  <si>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</si>
  <si>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</si>
  <si>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</si>
  <si>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</si>
  <si>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</si>
  <si>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</si>
  <si>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</si>
  <si>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</si>
  <si>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</si>
  <si>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</si>
  <si>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</si>
  <si>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</si>
  <si>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</si>
  <si>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</si>
  <si>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</si>
  <si>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</si>
  <si>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</si>
  <si>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</si>
  <si>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</si>
  <si>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</si>
  <si>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</si>
  <si>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</si>
  <si>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</si>
  <si>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</si>
  <si>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</si>
  <si>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</si>
  <si>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</si>
  <si>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</si>
  <si>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</si>
  <si>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</si>
  <si>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</si>
  <si>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</si>
  <si>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</si>
  <si>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</si>
  <si>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</si>
  <si>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</si>
  <si>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</si>
  <si>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</si>
  <si>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</si>
  <si>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</si>
  <si>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</si>
  <si>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</si>
  <si>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</si>
  <si>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</si>
  <si>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</si>
  <si>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</si>
  <si>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</si>
  <si>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</si>
  <si>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</si>
  <si>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</si>
  <si>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</si>
  <si>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</si>
  <si>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</si>
  <si>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</si>
  <si>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</si>
  <si>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</si>
  <si>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</si>
  <si>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</si>
  <si>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</si>
  <si>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</si>
  <si>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</si>
  <si>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</si>
  <si>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</si>
  <si>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</si>
  <si>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</si>
  <si>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</si>
  <si>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</si>
  <si>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</si>
  <si>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</si>
  <si>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</si>
  <si>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</si>
  <si>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</si>
  <si>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</si>
  <si>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</si>
  <si>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</si>
  <si>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</si>
  <si>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</si>
  <si>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</si>
  <si>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</si>
  <si>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</si>
  <si>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</si>
  <si>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</si>
  <si>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</si>
  <si>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</si>
  <si>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</si>
  <si>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</si>
  <si>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</si>
  <si>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</si>
  <si>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</si>
  <si>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</si>
  <si>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</si>
  <si>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</si>
  <si>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</si>
  <si>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</si>
  <si>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</si>
  <si>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</si>
  <si>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</si>
  <si>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</si>
  <si>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</si>
  <si>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</si>
  <si>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</si>
  <si>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</si>
  <si>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</si>
  <si>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</si>
  <si>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</si>
  <si>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</si>
  <si>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</si>
  <si>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</si>
  <si>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</si>
  <si>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</si>
  <si>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</si>
  <si>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</si>
  <si>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</si>
  <si>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</si>
  <si>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</si>
  <si>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</si>
  <si>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</si>
  <si>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</si>
  <si>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</si>
  <si>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</si>
  <si>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</si>
  <si>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</si>
  <si>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</si>
  <si>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</si>
  <si>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</si>
  <si>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</si>
  <si>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</si>
  <si>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</si>
  <si>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</si>
  <si>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</si>
  <si>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</si>
  <si>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</si>
  <si>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</si>
  <si>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</si>
  <si>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</si>
  <si>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</si>
  <si>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</si>
  <si>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</si>
  <si>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</si>
  <si>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</si>
  <si>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</si>
  <si>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</si>
  <si>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</si>
  <si>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</si>
  <si>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</si>
  <si>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</si>
  <si>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</si>
  <si>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</si>
  <si>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</si>
  <si>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</si>
  <si>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</si>
  <si>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</si>
  <si>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</si>
  <si>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</si>
  <si>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</si>
  <si>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</si>
  <si>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</si>
  <si>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</si>
  <si>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</si>
  <si>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</si>
  <si>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</si>
  <si>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</si>
  <si>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</si>
  <si>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</si>
  <si>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</si>
  <si>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</si>
  <si>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</si>
  <si>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</si>
  <si>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</si>
  <si>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</si>
  <si>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</si>
  <si>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</si>
  <si>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</si>
  <si>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</si>
  <si>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</si>
  <si>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</si>
  <si>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</si>
  <si>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</si>
  <si>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</si>
  <si>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</si>
  <si>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</si>
  <si>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</si>
  <si>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</si>
  <si>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</si>
  <si>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</si>
  <si>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</si>
  <si>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</si>
  <si>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</si>
  <si>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</si>
  <si>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</si>
  <si>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</si>
  <si>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</si>
  <si>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</si>
  <si>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</si>
  <si>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</si>
  <si>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</si>
  <si>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</si>
  <si>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</si>
  <si>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</si>
  <si>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</si>
  <si>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</si>
  <si>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</si>
  <si>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</si>
  <si>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</si>
  <si>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</si>
  <si>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</si>
  <si>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</si>
  <si>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</si>
  <si>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</si>
  <si>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</si>
  <si>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</si>
  <si>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</si>
  <si>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</si>
  <si>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</si>
  <si>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</si>
  <si>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</si>
  <si>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</si>
  <si>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</si>
  <si>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</si>
  <si>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</si>
  <si>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</si>
  <si>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</si>
  <si>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</si>
  <si>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</si>
  <si>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</si>
  <si>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</si>
  <si>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</si>
  <si>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</si>
  <si>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</si>
  <si>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</si>
  <si>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</si>
  <si>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</si>
  <si>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</si>
  <si>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</si>
  <si>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</si>
  <si>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</si>
  <si>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</si>
  <si>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</si>
  <si>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</si>
  <si>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</si>
  <si>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</si>
  <si>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</si>
  <si>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</si>
  <si>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</si>
  <si>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</si>
  <si>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</si>
  <si>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</si>
  <si>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</si>
  <si>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</si>
  <si>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</si>
  <si>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</si>
  <si>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</si>
  <si>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</si>
  <si>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</si>
  <si>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</si>
  <si>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</si>
  <si>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</si>
  <si>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</si>
  <si>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</si>
  <si>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</si>
  <si>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</si>
  <si>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</si>
  <si>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</si>
  <si>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</si>
  <si>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</si>
  <si>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</si>
  <si>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</si>
  <si>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</si>
  <si>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</si>
  <si>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</si>
  <si>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</si>
  <si>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</si>
  <si>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</si>
  <si>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</si>
  <si>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</si>
  <si>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</si>
  <si>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</si>
  <si>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</si>
  <si>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</si>
  <si>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</si>
  <si>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</si>
  <si>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</si>
  <si>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</si>
  <si>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</si>
  <si>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</si>
  <si>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</si>
  <si>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</si>
  <si>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</si>
  <si>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</si>
  <si>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</si>
  <si>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</si>
  <si>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</si>
  <si>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</si>
  <si>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</si>
  <si>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</si>
  <si>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</si>
  <si>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</si>
  <si>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</si>
  <si>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</si>
  <si>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</si>
  <si>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</si>
  <si>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</si>
  <si>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</si>
  <si>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</si>
  <si>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</si>
  <si>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</si>
  <si>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</si>
  <si>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</si>
  <si>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</si>
  <si>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</si>
  <si>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</si>
  <si>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</si>
  <si>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</si>
  <si>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</si>
  <si>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</si>
  <si>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</si>
  <si>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</si>
  <si>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</si>
  <si>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</si>
  <si>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</si>
  <si>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</si>
  <si>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</si>
  <si>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</si>
  <si>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</si>
  <si>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</si>
  <si>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</si>
  <si>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</si>
  <si>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</si>
  <si>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</si>
  <si>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</si>
  <si>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</si>
  <si>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</si>
  <si>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</si>
  <si>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</si>
  <si>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</si>
  <si>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</si>
  <si>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</si>
  <si>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</si>
  <si>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</si>
  <si>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</si>
  <si>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</si>
  <si>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</si>
  <si>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</si>
  <si>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</si>
  <si>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</si>
  <si>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</si>
  <si>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</si>
  <si>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</si>
  <si>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</si>
  <si>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</si>
  <si>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</si>
  <si>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</si>
  <si>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</si>
  <si>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</si>
  <si>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</si>
  <si>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</si>
  <si>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</si>
  <si>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</si>
  <si>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</si>
  <si>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</si>
  <si>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</si>
  <si>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</si>
  <si>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</si>
  <si>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</si>
  <si>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</si>
  <si>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</si>
  <si>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</si>
  <si>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</si>
  <si>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</si>
  <si>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</si>
  <si>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</si>
  <si>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</si>
  <si>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</si>
  <si>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</si>
  <si>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</si>
  <si>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</si>
  <si>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</si>
  <si>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</si>
  <si>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</si>
  <si>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</si>
  <si>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</si>
  <si>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</si>
  <si>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</si>
  <si>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</si>
  <si>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</si>
  <si>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</si>
  <si>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</si>
  <si>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</si>
  <si>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</si>
  <si>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</si>
  <si>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</si>
  <si>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</si>
  <si>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</si>
  <si>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</si>
  <si>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</si>
  <si>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</si>
  <si>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</si>
  <si>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</si>
  <si>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</si>
  <si>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</si>
  <si>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</si>
  <si>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</si>
  <si>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</si>
  <si>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</si>
  <si>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</si>
  <si>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</si>
  <si>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</si>
  <si>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</si>
  <si>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</si>
  <si>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</si>
  <si>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</si>
  <si>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</si>
  <si>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</si>
  <si>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</si>
  <si>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</si>
  <si>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</si>
  <si>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</si>
  <si>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</si>
  <si>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</si>
  <si>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</si>
  <si>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</si>
  <si>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</si>
  <si>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</si>
  <si>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</si>
  <si>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</si>
  <si>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</si>
  <si>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</si>
  <si>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</si>
  <si>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</si>
  <si>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</si>
  <si>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</si>
  <si>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</si>
  <si>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</si>
  <si>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</si>
  <si>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</si>
  <si>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</si>
  <si>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</si>
  <si>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</si>
  <si>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</si>
  <si>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</si>
  <si>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</si>
  <si>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</si>
  <si>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</si>
  <si>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</si>
  <si>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</si>
  <si>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</si>
  <si>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</si>
  <si>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</si>
  <si>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</si>
  <si>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</si>
  <si>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</si>
  <si>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</si>
  <si>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</si>
  <si>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</si>
  <si>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</si>
  <si>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</si>
  <si>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73006</t>
  </si>
  <si>
    <t>BILZEN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</si>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</sst>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73006</v>
      </c>
      <c r="B6" s="396"/>
      <c r="C6" s="397"/>
    </row>
    <row r="7" spans="1:7" s="394" customFormat="1" ht="15.75" customHeight="1">
      <c r="A7" s="398" t="str">
        <f>txtMunicipality</f>
        <v>BILZEN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30350.725000000002</v>
      </c>
      <c r="D10" s="702">
        <f ca="1">tertiair!C16</f>
        <v>0</v>
      </c>
      <c r="E10" s="702">
        <f ca="1">tertiair!D16</f>
        <v>21810.997714000001</v>
      </c>
      <c r="F10" s="702">
        <f>tertiair!E16</f>
        <v>451.2137903143348</v>
      </c>
      <c r="G10" s="702">
        <f ca="1">tertiair!F16</f>
        <v>5727.4694937403892</v>
      </c>
      <c r="H10" s="702">
        <f>tertiair!G16</f>
        <v>0</v>
      </c>
      <c r="I10" s="702">
        <f>tertiair!H16</f>
        <v>0</v>
      </c>
      <c r="J10" s="702">
        <f>tertiair!I16</f>
        <v>0</v>
      </c>
      <c r="K10" s="702">
        <f>tertiair!J16</f>
        <v>0</v>
      </c>
      <c r="L10" s="702">
        <f>tertiair!K16</f>
        <v>0</v>
      </c>
      <c r="M10" s="702">
        <f ca="1">tertiair!L16</f>
        <v>0</v>
      </c>
      <c r="N10" s="702">
        <f>tertiair!M16</f>
        <v>0</v>
      </c>
      <c r="O10" s="702">
        <f ca="1">tertiair!N16</f>
        <v>1601.7878533569803</v>
      </c>
      <c r="P10" s="702">
        <f>tertiair!O16</f>
        <v>1.5633333333333335</v>
      </c>
      <c r="Q10" s="703">
        <f>tertiair!P16</f>
        <v>0</v>
      </c>
      <c r="R10" s="705">
        <f ca="1">SUM(C10:Q10)</f>
        <v>59943.757184745045</v>
      </c>
      <c r="S10" s="67"/>
    </row>
    <row r="11" spans="1:19" s="457" customFormat="1">
      <c r="A11" s="858" t="s">
        <v>226</v>
      </c>
      <c r="B11" s="863"/>
      <c r="C11" s="702">
        <f>huishoudens!B8</f>
        <v>55618.678304208042</v>
      </c>
      <c r="D11" s="702">
        <f>huishoudens!C8</f>
        <v>0</v>
      </c>
      <c r="E11" s="702">
        <f>huishoudens!D8</f>
        <v>70474.297299999991</v>
      </c>
      <c r="F11" s="702">
        <f>huishoudens!E8</f>
        <v>3354.284004844998</v>
      </c>
      <c r="G11" s="702">
        <f>huishoudens!F8</f>
        <v>112950.23138065969</v>
      </c>
      <c r="H11" s="702">
        <f>huishoudens!G8</f>
        <v>0</v>
      </c>
      <c r="I11" s="702">
        <f>huishoudens!H8</f>
        <v>0</v>
      </c>
      <c r="J11" s="702">
        <f>huishoudens!I8</f>
        <v>0</v>
      </c>
      <c r="K11" s="702">
        <f>huishoudens!J8</f>
        <v>0</v>
      </c>
      <c r="L11" s="702">
        <f>huishoudens!K8</f>
        <v>0</v>
      </c>
      <c r="M11" s="702">
        <f>huishoudens!L8</f>
        <v>0</v>
      </c>
      <c r="N11" s="702">
        <f>huishoudens!M8</f>
        <v>0</v>
      </c>
      <c r="O11" s="702">
        <f>huishoudens!N8</f>
        <v>21519.990349093187</v>
      </c>
      <c r="P11" s="702">
        <f>huishoudens!O8</f>
        <v>200.10666666666668</v>
      </c>
      <c r="Q11" s="703">
        <f>huishoudens!P8</f>
        <v>495.73333333333335</v>
      </c>
      <c r="R11" s="705">
        <f>SUM(C11:Q11)</f>
        <v>264613.32133880595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16135.307000000003</v>
      </c>
      <c r="D13" s="702">
        <f>industrie!C18</f>
        <v>6621.4285714285716</v>
      </c>
      <c r="E13" s="702">
        <f>industrie!D18</f>
        <v>104448.78593714286</v>
      </c>
      <c r="F13" s="702">
        <f>industrie!E18</f>
        <v>175.56431456539647</v>
      </c>
      <c r="G13" s="702">
        <f>industrie!F18</f>
        <v>6772.2310167346322</v>
      </c>
      <c r="H13" s="702">
        <f>industrie!G18</f>
        <v>0</v>
      </c>
      <c r="I13" s="702">
        <f>industrie!H18</f>
        <v>0</v>
      </c>
      <c r="J13" s="702">
        <f>industrie!I18</f>
        <v>0</v>
      </c>
      <c r="K13" s="702">
        <f>industrie!J18</f>
        <v>32.989125391540732</v>
      </c>
      <c r="L13" s="702">
        <f>industrie!K18</f>
        <v>0</v>
      </c>
      <c r="M13" s="702">
        <f>industrie!L18</f>
        <v>0</v>
      </c>
      <c r="N13" s="702">
        <f>industrie!M18</f>
        <v>0</v>
      </c>
      <c r="O13" s="702">
        <f>industrie!N18</f>
        <v>626.39964433511614</v>
      </c>
      <c r="P13" s="702">
        <f>industrie!O18</f>
        <v>0</v>
      </c>
      <c r="Q13" s="703">
        <f>industrie!P18</f>
        <v>0</v>
      </c>
      <c r="R13" s="705">
        <f>SUM(C13:Q13)</f>
        <v>134812.70560959811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102104.71030420804</v>
      </c>
      <c r="D15" s="707">
        <f t="shared" ref="D15:Q15" ca="1" si="0">SUM(D9:D14)</f>
        <v>6621.4285714285716</v>
      </c>
      <c r="E15" s="707">
        <f t="shared" ca="1" si="0"/>
        <v>196734.08095114285</v>
      </c>
      <c r="F15" s="707">
        <f t="shared" si="0"/>
        <v>3981.0621097247295</v>
      </c>
      <c r="G15" s="707">
        <f t="shared" ca="1" si="0"/>
        <v>125449.93189113471</v>
      </c>
      <c r="H15" s="707">
        <f t="shared" si="0"/>
        <v>0</v>
      </c>
      <c r="I15" s="707">
        <f t="shared" si="0"/>
        <v>0</v>
      </c>
      <c r="J15" s="707">
        <f t="shared" si="0"/>
        <v>0</v>
      </c>
      <c r="K15" s="707">
        <f t="shared" si="0"/>
        <v>32.989125391540732</v>
      </c>
      <c r="L15" s="707">
        <f t="shared" si="0"/>
        <v>0</v>
      </c>
      <c r="M15" s="707">
        <f t="shared" ca="1" si="0"/>
        <v>0</v>
      </c>
      <c r="N15" s="707">
        <f t="shared" si="0"/>
        <v>0</v>
      </c>
      <c r="O15" s="707">
        <f t="shared" ca="1" si="0"/>
        <v>23748.177846785286</v>
      </c>
      <c r="P15" s="707">
        <f t="shared" si="0"/>
        <v>201.67000000000002</v>
      </c>
      <c r="Q15" s="708">
        <f t="shared" si="0"/>
        <v>495.73333333333335</v>
      </c>
      <c r="R15" s="709">
        <f ca="1">SUM(R9:R14)</f>
        <v>459369.78413314908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3115.9208282228078</v>
      </c>
      <c r="I18" s="702">
        <f>transport!H54</f>
        <v>0</v>
      </c>
      <c r="J18" s="702">
        <f>transport!I54</f>
        <v>0</v>
      </c>
      <c r="K18" s="702">
        <f>transport!J54</f>
        <v>0</v>
      </c>
      <c r="L18" s="702">
        <f>transport!K54</f>
        <v>0</v>
      </c>
      <c r="M18" s="702">
        <f>transport!L54</f>
        <v>0</v>
      </c>
      <c r="N18" s="702">
        <f>transport!M54</f>
        <v>132.8181678621161</v>
      </c>
      <c r="O18" s="702">
        <f>transport!N54</f>
        <v>0</v>
      </c>
      <c r="P18" s="702">
        <f>transport!O54</f>
        <v>0</v>
      </c>
      <c r="Q18" s="703">
        <f>transport!P54</f>
        <v>0</v>
      </c>
      <c r="R18" s="705">
        <f>SUM(C18:Q18)</f>
        <v>3248.7389960849241</v>
      </c>
      <c r="S18" s="67"/>
    </row>
    <row r="19" spans="1:19" s="457" customFormat="1" ht="15" thickBot="1">
      <c r="A19" s="858" t="s">
        <v>308</v>
      </c>
      <c r="B19" s="863"/>
      <c r="C19" s="711">
        <f>transport!B14</f>
        <v>1.643233410809021</v>
      </c>
      <c r="D19" s="711">
        <f>transport!C14</f>
        <v>0</v>
      </c>
      <c r="E19" s="711">
        <f>transport!D14</f>
        <v>8.2969652012551958</v>
      </c>
      <c r="F19" s="711">
        <f>transport!E14</f>
        <v>885.35000066732732</v>
      </c>
      <c r="G19" s="711">
        <f>transport!F14</f>
        <v>0</v>
      </c>
      <c r="H19" s="711">
        <f>transport!G14</f>
        <v>150041.69393018863</v>
      </c>
      <c r="I19" s="711">
        <f>transport!H14</f>
        <v>27896.533876599828</v>
      </c>
      <c r="J19" s="711">
        <f>transport!I14</f>
        <v>0</v>
      </c>
      <c r="K19" s="711">
        <f>transport!J14</f>
        <v>0</v>
      </c>
      <c r="L19" s="711">
        <f>transport!K14</f>
        <v>0</v>
      </c>
      <c r="M19" s="711">
        <f>transport!L14</f>
        <v>0</v>
      </c>
      <c r="N19" s="711">
        <f>transport!M14</f>
        <v>7769.781016625644</v>
      </c>
      <c r="O19" s="711">
        <f>transport!N14</f>
        <v>0</v>
      </c>
      <c r="P19" s="711">
        <f>transport!O14</f>
        <v>0</v>
      </c>
      <c r="Q19" s="712">
        <f>transport!P14</f>
        <v>0</v>
      </c>
      <c r="R19" s="713">
        <f>SUM(C19:Q19)</f>
        <v>186603.29902269348</v>
      </c>
      <c r="S19" s="67"/>
    </row>
    <row r="20" spans="1:19" s="457" customFormat="1" ht="15.75" thickBot="1">
      <c r="A20" s="714" t="s">
        <v>231</v>
      </c>
      <c r="B20" s="866"/>
      <c r="C20" s="861">
        <f>SUM(C17:C19)</f>
        <v>1.643233410809021</v>
      </c>
      <c r="D20" s="715">
        <f t="shared" ref="D20:R20" si="1">SUM(D17:D19)</f>
        <v>0</v>
      </c>
      <c r="E20" s="715">
        <f t="shared" si="1"/>
        <v>8.2969652012551958</v>
      </c>
      <c r="F20" s="715">
        <f t="shared" si="1"/>
        <v>885.35000066732732</v>
      </c>
      <c r="G20" s="715">
        <f t="shared" si="1"/>
        <v>0</v>
      </c>
      <c r="H20" s="715">
        <f t="shared" si="1"/>
        <v>153157.61475841145</v>
      </c>
      <c r="I20" s="715">
        <f t="shared" si="1"/>
        <v>27896.533876599828</v>
      </c>
      <c r="J20" s="715">
        <f t="shared" si="1"/>
        <v>0</v>
      </c>
      <c r="K20" s="715">
        <f t="shared" si="1"/>
        <v>0</v>
      </c>
      <c r="L20" s="715">
        <f t="shared" si="1"/>
        <v>0</v>
      </c>
      <c r="M20" s="715">
        <f t="shared" si="1"/>
        <v>0</v>
      </c>
      <c r="N20" s="715">
        <f t="shared" si="1"/>
        <v>7902.5991844877599</v>
      </c>
      <c r="O20" s="715">
        <f t="shared" si="1"/>
        <v>0</v>
      </c>
      <c r="P20" s="715">
        <f t="shared" si="1"/>
        <v>0</v>
      </c>
      <c r="Q20" s="716">
        <f t="shared" si="1"/>
        <v>0</v>
      </c>
      <c r="R20" s="717">
        <f t="shared" si="1"/>
        <v>189852.0380187784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3043.1469999999999</v>
      </c>
      <c r="D22" s="711">
        <f>+landbouw!C8</f>
        <v>0</v>
      </c>
      <c r="E22" s="711">
        <f>+landbouw!D8</f>
        <v>2790.7320760000002</v>
      </c>
      <c r="F22" s="711">
        <f>+landbouw!E8</f>
        <v>31.868494198459203</v>
      </c>
      <c r="G22" s="711">
        <f>+landbouw!F8</f>
        <v>15630.087534851978</v>
      </c>
      <c r="H22" s="711">
        <f>+landbouw!G8</f>
        <v>0</v>
      </c>
      <c r="I22" s="711">
        <f>+landbouw!H8</f>
        <v>0</v>
      </c>
      <c r="J22" s="711">
        <f>+landbouw!I8</f>
        <v>0</v>
      </c>
      <c r="K22" s="711">
        <f>+landbouw!J8</f>
        <v>271.78030329188357</v>
      </c>
      <c r="L22" s="711">
        <f>+landbouw!K8</f>
        <v>0</v>
      </c>
      <c r="M22" s="711">
        <f>+landbouw!L8</f>
        <v>0</v>
      </c>
      <c r="N22" s="711">
        <f>+landbouw!M8</f>
        <v>0</v>
      </c>
      <c r="O22" s="711">
        <f>+landbouw!N8</f>
        <v>0</v>
      </c>
      <c r="P22" s="711">
        <f>+landbouw!O8</f>
        <v>0</v>
      </c>
      <c r="Q22" s="712">
        <f>+landbouw!P8</f>
        <v>0</v>
      </c>
      <c r="R22" s="713">
        <f>SUM(C22:Q22)</f>
        <v>21767.615408342321</v>
      </c>
      <c r="S22" s="67"/>
    </row>
    <row r="23" spans="1:19" s="457" customFormat="1" ht="17.25" thickTop="1" thickBot="1">
      <c r="A23" s="718" t="s">
        <v>116</v>
      </c>
      <c r="B23" s="852"/>
      <c r="C23" s="719">
        <f ca="1">C20+C15+C22</f>
        <v>105149.50053761885</v>
      </c>
      <c r="D23" s="719">
        <f t="shared" ref="D23:Q23" ca="1" si="2">D20+D15+D22</f>
        <v>6621.4285714285716</v>
      </c>
      <c r="E23" s="719">
        <f t="shared" ca="1" si="2"/>
        <v>199533.10999234411</v>
      </c>
      <c r="F23" s="719">
        <f t="shared" si="2"/>
        <v>4898.2806045905163</v>
      </c>
      <c r="G23" s="719">
        <f t="shared" ca="1" si="2"/>
        <v>141080.01942598668</v>
      </c>
      <c r="H23" s="719">
        <f t="shared" si="2"/>
        <v>153157.61475841145</v>
      </c>
      <c r="I23" s="719">
        <f t="shared" si="2"/>
        <v>27896.533876599828</v>
      </c>
      <c r="J23" s="719">
        <f t="shared" si="2"/>
        <v>0</v>
      </c>
      <c r="K23" s="719">
        <f t="shared" si="2"/>
        <v>304.76942868342428</v>
      </c>
      <c r="L23" s="719">
        <f t="shared" si="2"/>
        <v>0</v>
      </c>
      <c r="M23" s="719">
        <f t="shared" ca="1" si="2"/>
        <v>0</v>
      </c>
      <c r="N23" s="719">
        <f t="shared" si="2"/>
        <v>7902.5991844877599</v>
      </c>
      <c r="O23" s="719">
        <f t="shared" ca="1" si="2"/>
        <v>23748.177846785286</v>
      </c>
      <c r="P23" s="719">
        <f t="shared" si="2"/>
        <v>201.67000000000002</v>
      </c>
      <c r="Q23" s="720">
        <f t="shared" si="2"/>
        <v>495.73333333333335</v>
      </c>
      <c r="R23" s="721">
        <f ca="1">R20+R15+R22</f>
        <v>670989.43756026984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6307.937564985019</v>
      </c>
      <c r="D36" s="702">
        <f ca="1">tertiair!C20</f>
        <v>0</v>
      </c>
      <c r="E36" s="702">
        <f ca="1">tertiair!D20</f>
        <v>4405.8215382280005</v>
      </c>
      <c r="F36" s="702">
        <f>tertiair!E20</f>
        <v>102.42553040135401</v>
      </c>
      <c r="G36" s="702">
        <f ca="1">tertiair!F20</f>
        <v>1529.234354828684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12345.418988443056</v>
      </c>
    </row>
    <row r="37" spans="1:18">
      <c r="A37" s="873" t="s">
        <v>226</v>
      </c>
      <c r="B37" s="880"/>
      <c r="C37" s="702">
        <f ca="1">huishoudens!B12</f>
        <v>11559.498173105623</v>
      </c>
      <c r="D37" s="702">
        <f ca="1">huishoudens!C12</f>
        <v>0</v>
      </c>
      <c r="E37" s="702">
        <f>huishoudens!D12</f>
        <v>14235.808054599998</v>
      </c>
      <c r="F37" s="702">
        <f>huishoudens!E12</f>
        <v>761.42246909981452</v>
      </c>
      <c r="G37" s="702">
        <f>huishoudens!F12</f>
        <v>30157.711778636141</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56714.440475441581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3353.4786779513752</v>
      </c>
      <c r="D39" s="702">
        <f ca="1">industrie!C22</f>
        <v>1573.5630252100839</v>
      </c>
      <c r="E39" s="702">
        <f>industrie!D22</f>
        <v>21098.654759302859</v>
      </c>
      <c r="F39" s="702">
        <f>industrie!E22</f>
        <v>39.853099406345002</v>
      </c>
      <c r="G39" s="702">
        <f>industrie!F22</f>
        <v>1808.1856814681469</v>
      </c>
      <c r="H39" s="702">
        <f>industrie!G22</f>
        <v>0</v>
      </c>
      <c r="I39" s="702">
        <f>industrie!H22</f>
        <v>0</v>
      </c>
      <c r="J39" s="702">
        <f>industrie!I22</f>
        <v>0</v>
      </c>
      <c r="K39" s="702">
        <f>industrie!J22</f>
        <v>11.678150388605419</v>
      </c>
      <c r="L39" s="702">
        <f>industrie!K22</f>
        <v>0</v>
      </c>
      <c r="M39" s="702">
        <f>industrie!L22</f>
        <v>0</v>
      </c>
      <c r="N39" s="702">
        <f>industrie!M22</f>
        <v>0</v>
      </c>
      <c r="O39" s="702">
        <f>industrie!N22</f>
        <v>0</v>
      </c>
      <c r="P39" s="702">
        <f>industrie!O22</f>
        <v>0</v>
      </c>
      <c r="Q39" s="812">
        <f>industrie!P22</f>
        <v>0</v>
      </c>
      <c r="R39" s="906">
        <f ca="1">SUM(C39:Q39)</f>
        <v>27885.413393727413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21220.914416042018</v>
      </c>
      <c r="D41" s="747">
        <f t="shared" ref="D41:R41" ca="1" si="4">SUM(D35:D40)</f>
        <v>1573.5630252100839</v>
      </c>
      <c r="E41" s="747">
        <f t="shared" ca="1" si="4"/>
        <v>39740.284352130853</v>
      </c>
      <c r="F41" s="747">
        <f t="shared" si="4"/>
        <v>903.70109890751348</v>
      </c>
      <c r="G41" s="747">
        <f t="shared" ca="1" si="4"/>
        <v>33495.131814932975</v>
      </c>
      <c r="H41" s="747">
        <f t="shared" si="4"/>
        <v>0</v>
      </c>
      <c r="I41" s="747">
        <f t="shared" si="4"/>
        <v>0</v>
      </c>
      <c r="J41" s="747">
        <f t="shared" si="4"/>
        <v>0</v>
      </c>
      <c r="K41" s="747">
        <f t="shared" si="4"/>
        <v>11.678150388605419</v>
      </c>
      <c r="L41" s="747">
        <f t="shared" si="4"/>
        <v>0</v>
      </c>
      <c r="M41" s="747">
        <f t="shared" ca="1" si="4"/>
        <v>0</v>
      </c>
      <c r="N41" s="747">
        <f t="shared" si="4"/>
        <v>0</v>
      </c>
      <c r="O41" s="747">
        <f t="shared" ca="1" si="4"/>
        <v>0</v>
      </c>
      <c r="P41" s="747">
        <f t="shared" si="4"/>
        <v>0</v>
      </c>
      <c r="Q41" s="748">
        <f t="shared" si="4"/>
        <v>0</v>
      </c>
      <c r="R41" s="749">
        <f t="shared" ca="1" si="4"/>
        <v>96945.272857612057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831.95086113548973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831.95086113548973</v>
      </c>
    </row>
    <row r="45" spans="1:18" ht="15" thickBot="1">
      <c r="A45" s="876" t="s">
        <v>308</v>
      </c>
      <c r="B45" s="886"/>
      <c r="C45" s="711">
        <f ca="1">transport!B18</f>
        <v>0.34152112544529606</v>
      </c>
      <c r="D45" s="711">
        <f>transport!C18</f>
        <v>0</v>
      </c>
      <c r="E45" s="711">
        <f>transport!D18</f>
        <v>1.6759869706535497</v>
      </c>
      <c r="F45" s="711">
        <f>transport!E18</f>
        <v>200.9744501514833</v>
      </c>
      <c r="G45" s="711">
        <f>transport!F18</f>
        <v>0</v>
      </c>
      <c r="H45" s="711">
        <f>transport!G18</f>
        <v>40061.132279360369</v>
      </c>
      <c r="I45" s="711">
        <f>transport!H18</f>
        <v>6946.2369352733567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47210.361172881312</v>
      </c>
    </row>
    <row r="46" spans="1:18" ht="15.75" thickBot="1">
      <c r="A46" s="874" t="s">
        <v>231</v>
      </c>
      <c r="B46" s="887"/>
      <c r="C46" s="747">
        <f t="shared" ref="C46:R46" ca="1" si="5">SUM(C43:C45)</f>
        <v>0.34152112544529606</v>
      </c>
      <c r="D46" s="747">
        <f t="shared" ca="1" si="5"/>
        <v>0</v>
      </c>
      <c r="E46" s="747">
        <f t="shared" si="5"/>
        <v>1.6759869706535497</v>
      </c>
      <c r="F46" s="747">
        <f t="shared" si="5"/>
        <v>200.9744501514833</v>
      </c>
      <c r="G46" s="747">
        <f t="shared" si="5"/>
        <v>0</v>
      </c>
      <c r="H46" s="747">
        <f t="shared" si="5"/>
        <v>40893.083140495859</v>
      </c>
      <c r="I46" s="747">
        <f t="shared" si="5"/>
        <v>6946.2369352733567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48042.312034016802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632.47191877859473</v>
      </c>
      <c r="D48" s="702">
        <f ca="1">+landbouw!C12</f>
        <v>0</v>
      </c>
      <c r="E48" s="702">
        <f>+landbouw!D12</f>
        <v>563.72787935200006</v>
      </c>
      <c r="F48" s="702">
        <f>+landbouw!E12</f>
        <v>7.2341481830502392</v>
      </c>
      <c r="G48" s="702">
        <f>+landbouw!F12</f>
        <v>4173.2333718054788</v>
      </c>
      <c r="H48" s="702">
        <f>+landbouw!G12</f>
        <v>0</v>
      </c>
      <c r="I48" s="702">
        <f>+landbouw!H12</f>
        <v>0</v>
      </c>
      <c r="J48" s="702">
        <f>+landbouw!I12</f>
        <v>0</v>
      </c>
      <c r="K48" s="702">
        <f>+landbouw!J12</f>
        <v>96.210227365326773</v>
      </c>
      <c r="L48" s="702">
        <f>+landbouw!K12</f>
        <v>0</v>
      </c>
      <c r="M48" s="702">
        <f>+landbouw!L12</f>
        <v>0</v>
      </c>
      <c r="N48" s="702">
        <f>+landbouw!M12</f>
        <v>0</v>
      </c>
      <c r="O48" s="702">
        <f>+landbouw!N12</f>
        <v>0</v>
      </c>
      <c r="P48" s="702">
        <f>+landbouw!O12</f>
        <v>0</v>
      </c>
      <c r="Q48" s="703">
        <f>+landbouw!P12</f>
        <v>0</v>
      </c>
      <c r="R48" s="745">
        <f ca="1">SUM(C48:Q48)</f>
        <v>5472.8775454844508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21853.727855946061</v>
      </c>
      <c r="D53" s="757">
        <f t="shared" ref="D53:Q53" ca="1" si="6">D41+D46+D48</f>
        <v>1573.5630252100839</v>
      </c>
      <c r="E53" s="757">
        <f t="shared" ca="1" si="6"/>
        <v>40305.688218453506</v>
      </c>
      <c r="F53" s="757">
        <f t="shared" si="6"/>
        <v>1111.9096972420468</v>
      </c>
      <c r="G53" s="757">
        <f t="shared" ca="1" si="6"/>
        <v>37668.365186738454</v>
      </c>
      <c r="H53" s="757">
        <f t="shared" si="6"/>
        <v>40893.083140495859</v>
      </c>
      <c r="I53" s="757">
        <f t="shared" si="6"/>
        <v>6946.2369352733567</v>
      </c>
      <c r="J53" s="757">
        <f t="shared" si="6"/>
        <v>0</v>
      </c>
      <c r="K53" s="757">
        <f t="shared" si="6"/>
        <v>107.88837775393219</v>
      </c>
      <c r="L53" s="757">
        <f t="shared" si="6"/>
        <v>0</v>
      </c>
      <c r="M53" s="757">
        <f t="shared" ca="1" si="6"/>
        <v>0</v>
      </c>
      <c r="N53" s="757">
        <f t="shared" si="6"/>
        <v>0</v>
      </c>
      <c r="O53" s="757">
        <f t="shared" ca="1" si="6"/>
        <v>0</v>
      </c>
      <c r="P53" s="757">
        <f>P41+P46+P48</f>
        <v>0</v>
      </c>
      <c r="Q53" s="758">
        <f t="shared" si="6"/>
        <v>0</v>
      </c>
      <c r="R53" s="759">
        <f ca="1">R41+R46+R48</f>
        <v>150460.46243711331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0.20783482322036856</v>
      </c>
      <c r="D55" s="823">
        <f t="shared" ca="1" si="7"/>
        <v>0.23764705882352938</v>
      </c>
      <c r="E55" s="823">
        <f t="shared" ca="1" si="7"/>
        <v>0.20199999999999999</v>
      </c>
      <c r="F55" s="823">
        <f t="shared" si="7"/>
        <v>0.22699999999999992</v>
      </c>
      <c r="G55" s="823">
        <f t="shared" ca="1" si="7"/>
        <v>0.26700000000000007</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6612.9904095690808</v>
      </c>
      <c r="C66" s="779">
        <f>'lokale energieproductie'!B6</f>
        <v>6612.9904095690808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4635</v>
      </c>
      <c r="C67" s="778">
        <f>B67*IFERROR(SUM(J67:L67)/SUM(D67:M67),0)</f>
        <v>0</v>
      </c>
      <c r="D67" s="810">
        <f>'lokale energieproductie'!C7</f>
        <v>5452.9411764705883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1101.4941176470588</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11247.99040956908</v>
      </c>
      <c r="C69" s="787">
        <f>SUM(C64:C68)</f>
        <v>6612.9904095690808</v>
      </c>
      <c r="D69" s="788">
        <f t="shared" ref="D69:M69" si="8">SUM(D67:D68)</f>
        <v>5452.9411764705883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1101.4941176470588</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6621.4285714285716</v>
      </c>
      <c r="C78" s="801">
        <f>B78*IFERROR(SUM(I78:L78)/SUM(D78:M78),0)</f>
        <v>0</v>
      </c>
      <c r="D78" s="816">
        <f>'lokale energieproductie'!C16</f>
        <v>7789.9159663865539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1573.5630252100839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6621.4285714285716</v>
      </c>
      <c r="C81" s="787">
        <f>SUM(C78:C80)</f>
        <v>0</v>
      </c>
      <c r="D81" s="787">
        <f t="shared" ref="D81:P81" si="9">SUM(D78:D80)</f>
        <v>7789.9159663865539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1573.5630252100839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55618.678304208042</v>
      </c>
      <c r="C4" s="461">
        <f>huishoudens!C8</f>
        <v>0</v>
      </c>
      <c r="D4" s="461">
        <f>huishoudens!D8</f>
        <v>70474.297299999991</v>
      </c>
      <c r="E4" s="461">
        <f>huishoudens!E8</f>
        <v>3354.284004844998</v>
      </c>
      <c r="F4" s="461">
        <f>huishoudens!F8</f>
        <v>112950.23138065969</v>
      </c>
      <c r="G4" s="461">
        <f>huishoudens!G8</f>
        <v>0</v>
      </c>
      <c r="H4" s="461">
        <f>huishoudens!H8</f>
        <v>0</v>
      </c>
      <c r="I4" s="461">
        <f>huishoudens!I8</f>
        <v>0</v>
      </c>
      <c r="J4" s="461">
        <f>huishoudens!J8</f>
        <v>0</v>
      </c>
      <c r="K4" s="461">
        <f>huishoudens!K8</f>
        <v>0</v>
      </c>
      <c r="L4" s="461">
        <f>huishoudens!L8</f>
        <v>0</v>
      </c>
      <c r="M4" s="461">
        <f>huishoudens!M8</f>
        <v>0</v>
      </c>
      <c r="N4" s="461">
        <f>huishoudens!N8</f>
        <v>21519.990349093187</v>
      </c>
      <c r="O4" s="461">
        <f>huishoudens!O8</f>
        <v>200.10666666666668</v>
      </c>
      <c r="P4" s="462">
        <f>huishoudens!P8</f>
        <v>495.73333333333335</v>
      </c>
      <c r="Q4" s="463">
        <f>SUM(B4:P4)</f>
        <v>264613.32133880595</v>
      </c>
    </row>
    <row r="5" spans="1:17">
      <c r="A5" s="460" t="s">
        <v>156</v>
      </c>
      <c r="B5" s="461">
        <f ca="1">tertiair!B16</f>
        <v>28335.254000000001</v>
      </c>
      <c r="C5" s="461">
        <f ca="1">tertiair!C16</f>
        <v>0</v>
      </c>
      <c r="D5" s="461">
        <f ca="1">tertiair!D16</f>
        <v>21810.997714000001</v>
      </c>
      <c r="E5" s="461">
        <f>tertiair!E16</f>
        <v>451.2137903143348</v>
      </c>
      <c r="F5" s="461">
        <f ca="1">tertiair!F16</f>
        <v>5727.4694937403892</v>
      </c>
      <c r="G5" s="461">
        <f>tertiair!G16</f>
        <v>0</v>
      </c>
      <c r="H5" s="461">
        <f>tertiair!H16</f>
        <v>0</v>
      </c>
      <c r="I5" s="461">
        <f>tertiair!I16</f>
        <v>0</v>
      </c>
      <c r="J5" s="461">
        <f>tertiair!J16</f>
        <v>0</v>
      </c>
      <c r="K5" s="461">
        <f>tertiair!K16</f>
        <v>0</v>
      </c>
      <c r="L5" s="461">
        <f ca="1">tertiair!L16</f>
        <v>0</v>
      </c>
      <c r="M5" s="461">
        <f>tertiair!M16</f>
        <v>0</v>
      </c>
      <c r="N5" s="461">
        <f ca="1">tertiair!N16</f>
        <v>1601.7878533569803</v>
      </c>
      <c r="O5" s="461">
        <f>tertiair!O16</f>
        <v>1.5633333333333335</v>
      </c>
      <c r="P5" s="462">
        <f>tertiair!P16</f>
        <v>0</v>
      </c>
      <c r="Q5" s="460">
        <f t="shared" ref="Q5:Q13" ca="1" si="0">SUM(B5:P5)</f>
        <v>57928.28618474504</v>
      </c>
    </row>
    <row r="6" spans="1:17">
      <c r="A6" s="460" t="s">
        <v>195</v>
      </c>
      <c r="B6" s="461">
        <f>'openbare verlichting'!B8</f>
        <v>2015.471</v>
      </c>
      <c r="C6" s="461"/>
      <c r="D6" s="461"/>
      <c r="E6" s="461"/>
      <c r="F6" s="461"/>
      <c r="G6" s="461"/>
      <c r="H6" s="461"/>
      <c r="I6" s="461"/>
      <c r="J6" s="461"/>
      <c r="K6" s="461"/>
      <c r="L6" s="461"/>
      <c r="M6" s="461"/>
      <c r="N6" s="461"/>
      <c r="O6" s="461"/>
      <c r="P6" s="462"/>
      <c r="Q6" s="460">
        <f t="shared" si="0"/>
        <v>2015.471</v>
      </c>
    </row>
    <row r="7" spans="1:17">
      <c r="A7" s="460" t="s">
        <v>112</v>
      </c>
      <c r="B7" s="461">
        <f>landbouw!B8</f>
        <v>3043.1469999999999</v>
      </c>
      <c r="C7" s="461">
        <f>landbouw!C8</f>
        <v>0</v>
      </c>
      <c r="D7" s="461">
        <f>landbouw!D8</f>
        <v>2790.7320760000002</v>
      </c>
      <c r="E7" s="461">
        <f>landbouw!E8</f>
        <v>31.868494198459203</v>
      </c>
      <c r="F7" s="461">
        <f>landbouw!F8</f>
        <v>15630.087534851978</v>
      </c>
      <c r="G7" s="461">
        <f>landbouw!G8</f>
        <v>0</v>
      </c>
      <c r="H7" s="461">
        <f>landbouw!H8</f>
        <v>0</v>
      </c>
      <c r="I7" s="461">
        <f>landbouw!I8</f>
        <v>0</v>
      </c>
      <c r="J7" s="461">
        <f>landbouw!J8</f>
        <v>271.78030329188357</v>
      </c>
      <c r="K7" s="461">
        <f>landbouw!K8</f>
        <v>0</v>
      </c>
      <c r="L7" s="461">
        <f>landbouw!L8</f>
        <v>0</v>
      </c>
      <c r="M7" s="461">
        <f>landbouw!M8</f>
        <v>0</v>
      </c>
      <c r="N7" s="461">
        <f>landbouw!N8</f>
        <v>0</v>
      </c>
      <c r="O7" s="461">
        <f>landbouw!O8</f>
        <v>0</v>
      </c>
      <c r="P7" s="462">
        <f>landbouw!P8</f>
        <v>0</v>
      </c>
      <c r="Q7" s="460">
        <f t="shared" si="0"/>
        <v>21767.615408342321</v>
      </c>
    </row>
    <row r="8" spans="1:17">
      <c r="A8" s="460" t="s">
        <v>656</v>
      </c>
      <c r="B8" s="461">
        <f>industrie!B18</f>
        <v>16135.307000000003</v>
      </c>
      <c r="C8" s="461">
        <f>industrie!C18</f>
        <v>6621.4285714285716</v>
      </c>
      <c r="D8" s="461">
        <f>industrie!D18</f>
        <v>104448.78593714286</v>
      </c>
      <c r="E8" s="461">
        <f>industrie!E18</f>
        <v>175.56431456539647</v>
      </c>
      <c r="F8" s="461">
        <f>industrie!F18</f>
        <v>6772.2310167346322</v>
      </c>
      <c r="G8" s="461">
        <f>industrie!G18</f>
        <v>0</v>
      </c>
      <c r="H8" s="461">
        <f>industrie!H18</f>
        <v>0</v>
      </c>
      <c r="I8" s="461">
        <f>industrie!I18</f>
        <v>0</v>
      </c>
      <c r="J8" s="461">
        <f>industrie!J18</f>
        <v>32.989125391540732</v>
      </c>
      <c r="K8" s="461">
        <f>industrie!K18</f>
        <v>0</v>
      </c>
      <c r="L8" s="461">
        <f>industrie!L18</f>
        <v>0</v>
      </c>
      <c r="M8" s="461">
        <f>industrie!M18</f>
        <v>0</v>
      </c>
      <c r="N8" s="461">
        <f>industrie!N18</f>
        <v>626.39964433511614</v>
      </c>
      <c r="O8" s="461">
        <f>industrie!O18</f>
        <v>0</v>
      </c>
      <c r="P8" s="462">
        <f>industrie!P18</f>
        <v>0</v>
      </c>
      <c r="Q8" s="460">
        <f t="shared" si="0"/>
        <v>134812.70560959811</v>
      </c>
    </row>
    <row r="9" spans="1:17" s="466" customFormat="1">
      <c r="A9" s="464" t="s">
        <v>574</v>
      </c>
      <c r="B9" s="465">
        <f>transport!B14</f>
        <v>1.643233410809021</v>
      </c>
      <c r="C9" s="465">
        <f>transport!C14</f>
        <v>0</v>
      </c>
      <c r="D9" s="465">
        <f>transport!D14</f>
        <v>8.2969652012551958</v>
      </c>
      <c r="E9" s="465">
        <f>transport!E14</f>
        <v>885.35000066732732</v>
      </c>
      <c r="F9" s="465">
        <f>transport!F14</f>
        <v>0</v>
      </c>
      <c r="G9" s="465">
        <f>transport!G14</f>
        <v>150041.69393018863</v>
      </c>
      <c r="H9" s="465">
        <f>transport!H14</f>
        <v>27896.533876599828</v>
      </c>
      <c r="I9" s="465">
        <f>transport!I14</f>
        <v>0</v>
      </c>
      <c r="J9" s="465">
        <f>transport!J14</f>
        <v>0</v>
      </c>
      <c r="K9" s="465">
        <f>transport!K14</f>
        <v>0</v>
      </c>
      <c r="L9" s="465">
        <f>transport!L14</f>
        <v>0</v>
      </c>
      <c r="M9" s="465">
        <f>transport!M14</f>
        <v>7769.781016625644</v>
      </c>
      <c r="N9" s="465">
        <f>transport!N14</f>
        <v>0</v>
      </c>
      <c r="O9" s="465">
        <f>transport!O14</f>
        <v>0</v>
      </c>
      <c r="P9" s="465">
        <f>transport!P14</f>
        <v>0</v>
      </c>
      <c r="Q9" s="464">
        <f>SUM(B9:P9)</f>
        <v>186603.29902269348</v>
      </c>
    </row>
    <row r="10" spans="1:17">
      <c r="A10" s="460" t="s">
        <v>564</v>
      </c>
      <c r="B10" s="461">
        <f>transport!B54</f>
        <v>0</v>
      </c>
      <c r="C10" s="461">
        <f>transport!C54</f>
        <v>0</v>
      </c>
      <c r="D10" s="461">
        <f>transport!D54</f>
        <v>0</v>
      </c>
      <c r="E10" s="461">
        <f>transport!E54</f>
        <v>0</v>
      </c>
      <c r="F10" s="461">
        <f>transport!F54</f>
        <v>0</v>
      </c>
      <c r="G10" s="461">
        <f>transport!G54</f>
        <v>3115.9208282228078</v>
      </c>
      <c r="H10" s="461">
        <f>transport!H54</f>
        <v>0</v>
      </c>
      <c r="I10" s="461">
        <f>transport!I54</f>
        <v>0</v>
      </c>
      <c r="J10" s="461">
        <f>transport!J54</f>
        <v>0</v>
      </c>
      <c r="K10" s="461">
        <f>transport!K54</f>
        <v>0</v>
      </c>
      <c r="L10" s="461">
        <f>transport!L54</f>
        <v>0</v>
      </c>
      <c r="M10" s="461">
        <f>transport!M54</f>
        <v>132.8181678621161</v>
      </c>
      <c r="N10" s="461">
        <f>transport!N54</f>
        <v>0</v>
      </c>
      <c r="O10" s="461">
        <f>transport!O54</f>
        <v>0</v>
      </c>
      <c r="P10" s="462">
        <f>transport!P54</f>
        <v>0</v>
      </c>
      <c r="Q10" s="460">
        <f t="shared" si="0"/>
        <v>3248.7389960849241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105149.50053761886</v>
      </c>
      <c r="C14" s="471">
        <f t="shared" ref="C14:Q14" ca="1" si="1">SUM(C4:C13)</f>
        <v>6621.4285714285716</v>
      </c>
      <c r="D14" s="471">
        <f t="shared" ca="1" si="1"/>
        <v>199533.10999234411</v>
      </c>
      <c r="E14" s="471">
        <f t="shared" si="1"/>
        <v>4898.2806045905163</v>
      </c>
      <c r="F14" s="471">
        <f t="shared" ca="1" si="1"/>
        <v>141080.01942598671</v>
      </c>
      <c r="G14" s="471">
        <f t="shared" si="1"/>
        <v>153157.61475841145</v>
      </c>
      <c r="H14" s="471">
        <f t="shared" si="1"/>
        <v>27896.533876599828</v>
      </c>
      <c r="I14" s="471">
        <f t="shared" si="1"/>
        <v>0</v>
      </c>
      <c r="J14" s="471">
        <f t="shared" si="1"/>
        <v>304.76942868342428</v>
      </c>
      <c r="K14" s="471">
        <f t="shared" si="1"/>
        <v>0</v>
      </c>
      <c r="L14" s="471">
        <f t="shared" ca="1" si="1"/>
        <v>0</v>
      </c>
      <c r="M14" s="471">
        <f t="shared" si="1"/>
        <v>7902.5991844877599</v>
      </c>
      <c r="N14" s="471">
        <f t="shared" ca="1" si="1"/>
        <v>23748.177846785286</v>
      </c>
      <c r="O14" s="471">
        <f t="shared" si="1"/>
        <v>201.67000000000002</v>
      </c>
      <c r="P14" s="472">
        <f t="shared" si="1"/>
        <v>495.73333333333335</v>
      </c>
      <c r="Q14" s="472">
        <f t="shared" ca="1" si="1"/>
        <v>670989.43756026973</v>
      </c>
    </row>
    <row r="16" spans="1:17">
      <c r="A16" s="474" t="s">
        <v>569</v>
      </c>
      <c r="B16" s="828">
        <f ca="1">huishoudens!B10</f>
        <v>0.2078348232203685</v>
      </c>
      <c r="C16" s="828">
        <f ca="1">huishoudens!C10</f>
        <v>0.23764705882352938</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11559.498173105623</v>
      </c>
      <c r="C21" s="461">
        <f t="shared" ref="C21:C30" ca="1" si="3">C4*$C$16</f>
        <v>0</v>
      </c>
      <c r="D21" s="461">
        <f t="shared" ref="D21:D30" si="4">D4*$D$16</f>
        <v>14235.808054599998</v>
      </c>
      <c r="E21" s="461">
        <f t="shared" ref="E21:E30" si="5">E4*$E$16</f>
        <v>761.42246909981452</v>
      </c>
      <c r="F21" s="461">
        <f t="shared" ref="F21:F30" si="6">F4*$F$16</f>
        <v>30157.711778636141</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56714.440475441581</v>
      </c>
    </row>
    <row r="22" spans="1:17">
      <c r="A22" s="460" t="s">
        <v>156</v>
      </c>
      <c r="B22" s="461">
        <f t="shared" ca="1" si="2"/>
        <v>5889.0525059942393</v>
      </c>
      <c r="C22" s="461">
        <f t="shared" ca="1" si="3"/>
        <v>0</v>
      </c>
      <c r="D22" s="461">
        <f t="shared" ca="1" si="4"/>
        <v>4405.8215382280005</v>
      </c>
      <c r="E22" s="461">
        <f t="shared" si="5"/>
        <v>102.42553040135401</v>
      </c>
      <c r="F22" s="461">
        <f t="shared" ca="1" si="6"/>
        <v>1529.234354828684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11926.533929452278</v>
      </c>
    </row>
    <row r="23" spans="1:17">
      <c r="A23" s="460" t="s">
        <v>195</v>
      </c>
      <c r="B23" s="461">
        <f t="shared" ca="1" si="2"/>
        <v>418.88505899077933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418.88505899077933</v>
      </c>
    </row>
    <row r="24" spans="1:17">
      <c r="A24" s="460" t="s">
        <v>112</v>
      </c>
      <c r="B24" s="461">
        <f t="shared" ca="1" si="2"/>
        <v>632.47191877859473</v>
      </c>
      <c r="C24" s="461">
        <f t="shared" ca="1" si="3"/>
        <v>0</v>
      </c>
      <c r="D24" s="461">
        <f t="shared" si="4"/>
        <v>563.72787935200006</v>
      </c>
      <c r="E24" s="461">
        <f t="shared" si="5"/>
        <v>7.2341481830502392</v>
      </c>
      <c r="F24" s="461">
        <f t="shared" si="6"/>
        <v>4173.2333718054788</v>
      </c>
      <c r="G24" s="461">
        <f t="shared" si="7"/>
        <v>0</v>
      </c>
      <c r="H24" s="461">
        <f t="shared" si="8"/>
        <v>0</v>
      </c>
      <c r="I24" s="461">
        <f t="shared" si="9"/>
        <v>0</v>
      </c>
      <c r="J24" s="461">
        <f t="shared" si="10"/>
        <v>96.210227365326773</v>
      </c>
      <c r="K24" s="461">
        <f t="shared" si="11"/>
        <v>0</v>
      </c>
      <c r="L24" s="461">
        <f t="shared" si="12"/>
        <v>0</v>
      </c>
      <c r="M24" s="461">
        <f t="shared" si="13"/>
        <v>0</v>
      </c>
      <c r="N24" s="461">
        <f t="shared" si="14"/>
        <v>0</v>
      </c>
      <c r="O24" s="461">
        <f t="shared" si="15"/>
        <v>0</v>
      </c>
      <c r="P24" s="462">
        <f t="shared" si="16"/>
        <v>0</v>
      </c>
      <c r="Q24" s="460">
        <f t="shared" ca="1" si="17"/>
        <v>5472.8775454844508</v>
      </c>
    </row>
    <row r="25" spans="1:17">
      <c r="A25" s="460" t="s">
        <v>656</v>
      </c>
      <c r="B25" s="461">
        <f t="shared" ca="1" si="2"/>
        <v>3353.4786779513752</v>
      </c>
      <c r="C25" s="461">
        <f t="shared" ca="1" si="3"/>
        <v>1573.5630252100839</v>
      </c>
      <c r="D25" s="461">
        <f t="shared" si="4"/>
        <v>21098.654759302859</v>
      </c>
      <c r="E25" s="461">
        <f t="shared" si="5"/>
        <v>39.853099406345002</v>
      </c>
      <c r="F25" s="461">
        <f t="shared" si="6"/>
        <v>1808.1856814681469</v>
      </c>
      <c r="G25" s="461">
        <f t="shared" si="7"/>
        <v>0</v>
      </c>
      <c r="H25" s="461">
        <f t="shared" si="8"/>
        <v>0</v>
      </c>
      <c r="I25" s="461">
        <f t="shared" si="9"/>
        <v>0</v>
      </c>
      <c r="J25" s="461">
        <f t="shared" si="10"/>
        <v>11.678150388605419</v>
      </c>
      <c r="K25" s="461">
        <f t="shared" si="11"/>
        <v>0</v>
      </c>
      <c r="L25" s="461">
        <f t="shared" si="12"/>
        <v>0</v>
      </c>
      <c r="M25" s="461">
        <f t="shared" si="13"/>
        <v>0</v>
      </c>
      <c r="N25" s="461">
        <f t="shared" si="14"/>
        <v>0</v>
      </c>
      <c r="O25" s="461">
        <f t="shared" si="15"/>
        <v>0</v>
      </c>
      <c r="P25" s="462">
        <f t="shared" si="16"/>
        <v>0</v>
      </c>
      <c r="Q25" s="460">
        <f t="shared" ca="1" si="17"/>
        <v>27885.413393727413</v>
      </c>
    </row>
    <row r="26" spans="1:17" s="466" customFormat="1">
      <c r="A26" s="464" t="s">
        <v>574</v>
      </c>
      <c r="B26" s="822">
        <f t="shared" ca="1" si="2"/>
        <v>0.34152112544529606</v>
      </c>
      <c r="C26" s="465">
        <f t="shared" ca="1" si="3"/>
        <v>0</v>
      </c>
      <c r="D26" s="465">
        <f t="shared" si="4"/>
        <v>1.6759869706535497</v>
      </c>
      <c r="E26" s="465">
        <f t="shared" si="5"/>
        <v>200.9744501514833</v>
      </c>
      <c r="F26" s="465">
        <f t="shared" si="6"/>
        <v>0</v>
      </c>
      <c r="G26" s="465">
        <f t="shared" si="7"/>
        <v>40061.132279360369</v>
      </c>
      <c r="H26" s="465">
        <f t="shared" si="8"/>
        <v>6946.2369352733567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47210.361172881312</v>
      </c>
    </row>
    <row r="27" spans="1:17">
      <c r="A27" s="460" t="s">
        <v>564</v>
      </c>
      <c r="B27" s="461">
        <f t="shared" ca="1" si="2"/>
        <v>0</v>
      </c>
      <c r="C27" s="461">
        <f t="shared" ca="1" si="3"/>
        <v>0</v>
      </c>
      <c r="D27" s="461">
        <f t="shared" si="4"/>
        <v>0</v>
      </c>
      <c r="E27" s="461">
        <f t="shared" si="5"/>
        <v>0</v>
      </c>
      <c r="F27" s="461">
        <f t="shared" si="6"/>
        <v>0</v>
      </c>
      <c r="G27" s="461">
        <f t="shared" si="7"/>
        <v>831.95086113548973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831.95086113548973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21853.727855946057</v>
      </c>
      <c r="C31" s="471">
        <f t="shared" ca="1" si="18"/>
        <v>1573.5630252100839</v>
      </c>
      <c r="D31" s="471">
        <f t="shared" ca="1" si="18"/>
        <v>40305.688218453513</v>
      </c>
      <c r="E31" s="471">
        <f t="shared" si="18"/>
        <v>1111.9096972420471</v>
      </c>
      <c r="F31" s="471">
        <f t="shared" ca="1" si="18"/>
        <v>37668.365186738447</v>
      </c>
      <c r="G31" s="471">
        <f t="shared" si="18"/>
        <v>40893.083140495859</v>
      </c>
      <c r="H31" s="471">
        <f t="shared" si="18"/>
        <v>6946.2369352733567</v>
      </c>
      <c r="I31" s="471">
        <f t="shared" si="18"/>
        <v>0</v>
      </c>
      <c r="J31" s="471">
        <f t="shared" si="18"/>
        <v>107.88837775393219</v>
      </c>
      <c r="K31" s="471">
        <f t="shared" si="18"/>
        <v>0</v>
      </c>
      <c r="L31" s="471">
        <f t="shared" ca="1" si="18"/>
        <v>0</v>
      </c>
      <c r="M31" s="471">
        <f t="shared" si="18"/>
        <v>0</v>
      </c>
      <c r="N31" s="471">
        <f t="shared" ca="1" si="18"/>
        <v>0</v>
      </c>
      <c r="O31" s="471">
        <f t="shared" si="18"/>
        <v>0</v>
      </c>
      <c r="P31" s="472">
        <f t="shared" si="18"/>
        <v>0</v>
      </c>
      <c r="Q31" s="472">
        <f t="shared" ca="1" si="18"/>
        <v>150460.46243711334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0.2078348232203685</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0.2078348232203685</v>
      </c>
      <c r="C17" s="511">
        <f ca="1">'EF ele_warmte'!B22</f>
        <v>0.23764705882352938</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0.2078348232203685</v>
      </c>
      <c r="C29" s="512">
        <f ca="1">'EF ele_warmte'!B22</f>
        <v>0.23764705882352938</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73006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12430</v>
      </c>
      <c r="C9" s="336">
        <v>13063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3590</v>
      </c>
    </row>
    <row r="15" spans="1:6">
      <c r="A15" s="1194" t="s">
        <v>185</v>
      </c>
      <c r="B15" s="333">
        <v>27</v>
      </c>
    </row>
    <row r="16" spans="1:6">
      <c r="A16" s="1194" t="s">
        <v>6</v>
      </c>
      <c r="B16" s="333">
        <v>1113</v>
      </c>
    </row>
    <row r="17" spans="1:6">
      <c r="A17" s="1194" t="s">
        <v>7</v>
      </c>
      <c r="B17" s="333">
        <v>851</v>
      </c>
    </row>
    <row r="18" spans="1:6">
      <c r="A18" s="1194" t="s">
        <v>8</v>
      </c>
      <c r="B18" s="333">
        <v>1239</v>
      </c>
    </row>
    <row r="19" spans="1:6">
      <c r="A19" s="1194" t="s">
        <v>9</v>
      </c>
      <c r="B19" s="333">
        <v>1158</v>
      </c>
    </row>
    <row r="20" spans="1:6">
      <c r="A20" s="1194" t="s">
        <v>10</v>
      </c>
      <c r="B20" s="333">
        <v>756</v>
      </c>
    </row>
    <row r="21" spans="1:6">
      <c r="A21" s="1194" t="s">
        <v>11</v>
      </c>
      <c r="B21" s="333">
        <v>3167</v>
      </c>
    </row>
    <row r="22" spans="1:6">
      <c r="A22" s="1194" t="s">
        <v>12</v>
      </c>
      <c r="B22" s="333">
        <v>5578</v>
      </c>
    </row>
    <row r="23" spans="1:6">
      <c r="A23" s="1194" t="s">
        <v>13</v>
      </c>
      <c r="B23" s="333">
        <v>128</v>
      </c>
    </row>
    <row r="24" spans="1:6">
      <c r="A24" s="1194" t="s">
        <v>14</v>
      </c>
      <c r="B24" s="333">
        <v>9</v>
      </c>
    </row>
    <row r="25" spans="1:6">
      <c r="A25" s="1194" t="s">
        <v>15</v>
      </c>
      <c r="B25" s="333">
        <v>1057</v>
      </c>
    </row>
    <row r="26" spans="1:6">
      <c r="A26" s="1194" t="s">
        <v>16</v>
      </c>
      <c r="B26" s="333">
        <v>153</v>
      </c>
    </row>
    <row r="27" spans="1:6">
      <c r="A27" s="1194" t="s">
        <v>17</v>
      </c>
      <c r="B27" s="333">
        <v>0</v>
      </c>
    </row>
    <row r="28" spans="1:6">
      <c r="A28" s="1194" t="s">
        <v>18</v>
      </c>
      <c r="B28" s="333">
        <v>24559</v>
      </c>
    </row>
    <row r="29" spans="1:6">
      <c r="A29" s="1194" t="s">
        <v>888</v>
      </c>
      <c r="B29" s="333">
        <v>162</v>
      </c>
    </row>
    <row r="30" spans="1:6">
      <c r="A30" s="1190" t="s">
        <v>889</v>
      </c>
      <c r="B30" s="1190">
        <v>33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454326</v>
      </c>
    </row>
    <row r="37" spans="1:6">
      <c r="A37" s="1194" t="s">
        <v>25</v>
      </c>
      <c r="B37" s="1194" t="s">
        <v>28</v>
      </c>
      <c r="C37" s="333">
        <v>0</v>
      </c>
      <c r="D37" s="333">
        <v>0</v>
      </c>
      <c r="E37" s="333">
        <v>0</v>
      </c>
      <c r="F37" s="333">
        <v>0</v>
      </c>
    </row>
    <row r="38" spans="1:6">
      <c r="A38" s="1194" t="s">
        <v>25</v>
      </c>
      <c r="B38" s="1194" t="s">
        <v>29</v>
      </c>
      <c r="C38" s="333">
        <v>2</v>
      </c>
      <c r="D38" s="333">
        <v>2131928</v>
      </c>
      <c r="E38" s="333">
        <v>0</v>
      </c>
      <c r="F38" s="333">
        <v>0</v>
      </c>
    </row>
    <row r="39" spans="1:6">
      <c r="A39" s="1194" t="s">
        <v>30</v>
      </c>
      <c r="B39" s="1194" t="s">
        <v>31</v>
      </c>
      <c r="C39" s="333">
        <v>5047</v>
      </c>
      <c r="D39" s="333">
        <v>78131150</v>
      </c>
      <c r="E39" s="333">
        <v>12721</v>
      </c>
      <c r="F39" s="333">
        <v>51682086</v>
      </c>
    </row>
    <row r="40" spans="1:6">
      <c r="A40" s="1194" t="s">
        <v>30</v>
      </c>
      <c r="B40" s="1194" t="s">
        <v>29</v>
      </c>
      <c r="C40" s="333">
        <v>0</v>
      </c>
      <c r="D40" s="333">
        <v>0</v>
      </c>
      <c r="E40" s="333">
        <v>0</v>
      </c>
      <c r="F40" s="333">
        <v>0</v>
      </c>
    </row>
    <row r="41" spans="1:6">
      <c r="A41" s="1194" t="s">
        <v>32</v>
      </c>
      <c r="B41" s="1194" t="s">
        <v>33</v>
      </c>
      <c r="C41" s="333">
        <v>46</v>
      </c>
      <c r="D41" s="333">
        <v>1067862</v>
      </c>
      <c r="E41" s="333">
        <v>169</v>
      </c>
      <c r="F41" s="333">
        <v>8126801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4229417</v>
      </c>
      <c r="E44" s="333">
        <v>21</v>
      </c>
      <c r="F44" s="333">
        <v>1135961</v>
      </c>
    </row>
    <row r="45" spans="1:6">
      <c r="A45" s="1194" t="s">
        <v>32</v>
      </c>
      <c r="B45" s="1194" t="s">
        <v>37</v>
      </c>
      <c r="C45" s="333">
        <v>0</v>
      </c>
      <c r="D45" s="333">
        <v>0</v>
      </c>
      <c r="E45" s="333">
        <v>15</v>
      </c>
      <c r="F45" s="333">
        <v>658610</v>
      </c>
    </row>
    <row r="46" spans="1:6">
      <c r="A46" s="1194" t="s">
        <v>32</v>
      </c>
      <c r="B46" s="1194" t="s">
        <v>38</v>
      </c>
      <c r="C46" s="333">
        <v>0</v>
      </c>
      <c r="D46" s="333">
        <v>0</v>
      </c>
      <c r="E46" s="333">
        <v>0</v>
      </c>
      <c r="F46" s="333">
        <v>0</v>
      </c>
    </row>
    <row r="47" spans="1:6">
      <c r="A47" s="1194" t="s">
        <v>32</v>
      </c>
      <c r="B47" s="1194" t="s">
        <v>39</v>
      </c>
      <c r="C47" s="333">
        <v>3</v>
      </c>
      <c r="D47" s="333">
        <v>18458</v>
      </c>
      <c r="E47" s="333">
        <v>8</v>
      </c>
      <c r="F47" s="333">
        <v>95125</v>
      </c>
    </row>
    <row r="48" spans="1:6">
      <c r="A48" s="1194" t="s">
        <v>32</v>
      </c>
      <c r="B48" s="1194" t="s">
        <v>29</v>
      </c>
      <c r="C48" s="333">
        <v>2</v>
      </c>
      <c r="D48" s="333">
        <v>124508294</v>
      </c>
      <c r="E48" s="333">
        <v>0</v>
      </c>
      <c r="F48" s="333">
        <v>0</v>
      </c>
    </row>
    <row r="49" spans="1:6">
      <c r="A49" s="1194" t="s">
        <v>32</v>
      </c>
      <c r="B49" s="1194" t="s">
        <v>40</v>
      </c>
      <c r="C49" s="333">
        <v>0</v>
      </c>
      <c r="D49" s="333">
        <v>0</v>
      </c>
      <c r="E49" s="333">
        <v>4</v>
      </c>
      <c r="F49" s="333">
        <v>250994</v>
      </c>
    </row>
    <row r="50" spans="1:6">
      <c r="A50" s="1194" t="s">
        <v>32</v>
      </c>
      <c r="B50" s="1194" t="s">
        <v>41</v>
      </c>
      <c r="C50" s="333">
        <v>5</v>
      </c>
      <c r="D50" s="333">
        <v>654509</v>
      </c>
      <c r="E50" s="333">
        <v>22</v>
      </c>
      <c r="F50" s="333">
        <v>1232816</v>
      </c>
    </row>
    <row r="51" spans="1:6">
      <c r="A51" s="1194" t="s">
        <v>42</v>
      </c>
      <c r="B51" s="1194" t="s">
        <v>43</v>
      </c>
      <c r="C51" s="333">
        <v>28</v>
      </c>
      <c r="D51" s="333">
        <v>3093938</v>
      </c>
      <c r="E51" s="333">
        <v>193</v>
      </c>
      <c r="F51" s="333">
        <v>3043147</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120</v>
      </c>
      <c r="F54" s="333">
        <v>2015471</v>
      </c>
    </row>
    <row r="55" spans="1:6">
      <c r="A55" s="1194" t="s">
        <v>46</v>
      </c>
      <c r="B55" s="1194" t="s">
        <v>29</v>
      </c>
      <c r="C55" s="333">
        <v>0</v>
      </c>
      <c r="D55" s="333">
        <v>0</v>
      </c>
      <c r="E55" s="333">
        <v>0</v>
      </c>
      <c r="F55" s="333">
        <v>0</v>
      </c>
    </row>
    <row r="56" spans="1:6">
      <c r="A56" s="1194" t="s">
        <v>48</v>
      </c>
      <c r="B56" s="1194" t="s">
        <v>29</v>
      </c>
      <c r="C56" s="333">
        <v>61</v>
      </c>
      <c r="D56" s="333">
        <v>3475575</v>
      </c>
      <c r="E56" s="333">
        <v>345</v>
      </c>
      <c r="F56" s="333">
        <v>8091333</v>
      </c>
    </row>
    <row r="57" spans="1:6">
      <c r="A57" s="1194" t="s">
        <v>49</v>
      </c>
      <c r="B57" s="1194" t="s">
        <v>50</v>
      </c>
      <c r="C57" s="333">
        <v>42</v>
      </c>
      <c r="D57" s="333">
        <v>2189382</v>
      </c>
      <c r="E57" s="333">
        <v>131</v>
      </c>
      <c r="F57" s="333">
        <v>6633327</v>
      </c>
    </row>
    <row r="58" spans="1:6">
      <c r="A58" s="1194" t="s">
        <v>49</v>
      </c>
      <c r="B58" s="1194" t="s">
        <v>51</v>
      </c>
      <c r="C58" s="333">
        <v>22</v>
      </c>
      <c r="D58" s="333">
        <v>7082362</v>
      </c>
      <c r="E58" s="333">
        <v>43</v>
      </c>
      <c r="F58" s="333">
        <v>3348100</v>
      </c>
    </row>
    <row r="59" spans="1:6">
      <c r="A59" s="1194" t="s">
        <v>49</v>
      </c>
      <c r="B59" s="1194" t="s">
        <v>52</v>
      </c>
      <c r="C59" s="333">
        <v>103</v>
      </c>
      <c r="D59" s="333">
        <v>4881791</v>
      </c>
      <c r="E59" s="333">
        <v>316</v>
      </c>
      <c r="F59" s="333">
        <v>9650225</v>
      </c>
    </row>
    <row r="60" spans="1:6">
      <c r="A60" s="1194" t="s">
        <v>49</v>
      </c>
      <c r="B60" s="1194" t="s">
        <v>53</v>
      </c>
      <c r="C60" s="333">
        <v>61</v>
      </c>
      <c r="D60" s="333">
        <v>3392256</v>
      </c>
      <c r="E60" s="333">
        <v>124</v>
      </c>
      <c r="F60" s="333">
        <v>3310097</v>
      </c>
    </row>
    <row r="61" spans="1:6">
      <c r="A61" s="1194" t="s">
        <v>49</v>
      </c>
      <c r="B61" s="1194" t="s">
        <v>54</v>
      </c>
      <c r="C61" s="333">
        <v>107</v>
      </c>
      <c r="D61" s="333">
        <v>5017625</v>
      </c>
      <c r="E61" s="333">
        <v>334</v>
      </c>
      <c r="F61" s="333">
        <v>4935541</v>
      </c>
    </row>
    <row r="62" spans="1:6">
      <c r="A62" s="1194" t="s">
        <v>49</v>
      </c>
      <c r="B62" s="1194" t="s">
        <v>55</v>
      </c>
      <c r="C62" s="333">
        <v>9</v>
      </c>
      <c r="D62" s="333">
        <v>1617291</v>
      </c>
      <c r="E62" s="333">
        <v>27</v>
      </c>
      <c r="F62" s="333">
        <v>457964</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4</v>
      </c>
      <c r="D65" s="333">
        <v>111145</v>
      </c>
      <c r="E65" s="333">
        <v>1</v>
      </c>
      <c r="F65" s="333">
        <v>19807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93551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114801555</v>
      </c>
      <c r="E73" s="333">
        <v>155064314.14319578</v>
      </c>
      <c r="F73" s="333">
        <v>98172037</v>
      </c>
    </row>
    <row r="74" spans="1:6">
      <c r="A74" s="1194" t="s">
        <v>64</v>
      </c>
      <c r="B74" s="1194" t="s">
        <v>775</v>
      </c>
      <c r="C74" s="1205" t="s">
        <v>776</v>
      </c>
      <c r="D74" s="333">
        <v>7019889.9644306172</v>
      </c>
      <c r="E74" s="333">
        <v>9688277.2347544506</v>
      </c>
      <c r="F74" s="333">
        <v>6206990.9963749927</v>
      </c>
    </row>
    <row r="75" spans="1:6">
      <c r="A75" s="1194" t="s">
        <v>65</v>
      </c>
      <c r="B75" s="1194" t="s">
        <v>773</v>
      </c>
      <c r="C75" s="1205" t="s">
        <v>777</v>
      </c>
      <c r="D75" s="333">
        <v>42172828</v>
      </c>
      <c r="E75" s="333">
        <v>61095694.828505352</v>
      </c>
      <c r="F75" s="333">
        <v>37000750</v>
      </c>
    </row>
    <row r="76" spans="1:6">
      <c r="A76" s="1194" t="s">
        <v>65</v>
      </c>
      <c r="B76" s="1194" t="s">
        <v>775</v>
      </c>
      <c r="C76" s="1205" t="s">
        <v>778</v>
      </c>
      <c r="D76" s="333">
        <v>607842.9644306174</v>
      </c>
      <c r="E76" s="333">
        <v>1034111.793342686</v>
      </c>
      <c r="F76" s="333">
        <v>582527.99637499277</v>
      </c>
    </row>
    <row r="77" spans="1:6">
      <c r="A77" s="1194" t="s">
        <v>66</v>
      </c>
      <c r="B77" s="1194" t="s">
        <v>773</v>
      </c>
      <c r="C77" s="1205" t="s">
        <v>779</v>
      </c>
      <c r="D77" s="333">
        <v>48840695</v>
      </c>
      <c r="E77" s="333">
        <v>52508207.013215013</v>
      </c>
      <c r="F77" s="333">
        <v>49386234</v>
      </c>
    </row>
    <row r="78" spans="1:6">
      <c r="A78" s="1190" t="s">
        <v>66</v>
      </c>
      <c r="B78" s="1190" t="s">
        <v>775</v>
      </c>
      <c r="C78" s="1190" t="s">
        <v>780</v>
      </c>
      <c r="D78" s="1190">
        <v>9789650</v>
      </c>
      <c r="E78" s="1190">
        <v>9783965.4673394691</v>
      </c>
      <c r="F78" s="336">
        <v>9767316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854302.07113876508</v>
      </c>
      <c r="C83" s="333">
        <v>781160.70568756794</v>
      </c>
      <c r="D83" s="333">
        <v>794708.00725001446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3936.5923042080422</v>
      </c>
    </row>
    <row r="92" spans="1:6">
      <c r="A92" s="1190" t="s">
        <v>69</v>
      </c>
      <c r="B92" s="336">
        <v>2676.3981053610387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1612</v>
      </c>
    </row>
    <row r="98" spans="1:6">
      <c r="A98" s="1194" t="s">
        <v>72</v>
      </c>
      <c r="B98" s="333">
        <v>4</v>
      </c>
    </row>
    <row r="99" spans="1:6">
      <c r="A99" s="1194" t="s">
        <v>73</v>
      </c>
      <c r="B99" s="333">
        <v>46</v>
      </c>
    </row>
    <row r="100" spans="1:6">
      <c r="A100" s="1194" t="s">
        <v>74</v>
      </c>
      <c r="B100" s="333">
        <v>530</v>
      </c>
    </row>
    <row r="101" spans="1:6">
      <c r="A101" s="1194" t="s">
        <v>75</v>
      </c>
      <c r="B101" s="333">
        <v>102</v>
      </c>
    </row>
    <row r="102" spans="1:6">
      <c r="A102" s="1194" t="s">
        <v>76</v>
      </c>
      <c r="B102" s="333">
        <v>145</v>
      </c>
    </row>
    <row r="103" spans="1:6">
      <c r="A103" s="1194" t="s">
        <v>77</v>
      </c>
      <c r="B103" s="333">
        <v>254</v>
      </c>
    </row>
    <row r="104" spans="1:6">
      <c r="A104" s="1194" t="s">
        <v>78</v>
      </c>
      <c r="B104" s="333">
        <v>8045</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14</v>
      </c>
      <c r="C123" s="333">
        <v>39</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89</v>
      </c>
    </row>
    <row r="130" spans="1:6">
      <c r="A130" s="1194" t="s">
        <v>296</v>
      </c>
      <c r="B130" s="333">
        <v>1</v>
      </c>
    </row>
    <row r="131" spans="1:6">
      <c r="A131" s="1194" t="s">
        <v>297</v>
      </c>
      <c r="B131" s="333">
        <v>0</v>
      </c>
    </row>
    <row r="132" spans="1:6">
      <c r="A132" s="1190" t="s">
        <v>298</v>
      </c>
      <c r="B132" s="336">
        <v>10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105149.50053761885</v>
      </c>
      <c r="C3" s="43" t="s">
        <v>171</v>
      </c>
      <c r="D3" s="43"/>
      <c r="E3" s="156"/>
      <c r="F3" s="43"/>
      <c r="G3" s="43"/>
      <c r="H3" s="43"/>
      <c r="I3" s="43"/>
      <c r="J3" s="43"/>
      <c r="K3" s="96"/>
    </row>
    <row r="4" spans="1:11">
      <c r="A4" s="364" t="s">
        <v>172</v>
      </c>
      <c r="B4" s="49">
        <f>IF(ISERROR('SEAP template'!B69),0,'SEAP template'!B69)</f>
        <v>11247.99040956908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1101.4941176470588</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0.2078348232203685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1573.5630252100839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6621.4285714285716</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0.23764705882352938</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2015.471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2015.471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0.2078348232203685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418.88505899077933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51682.086000000003</v>
      </c>
      <c r="C5" s="17">
        <f>IF(ISERROR('Eigen informatie GS &amp; warmtenet'!B57),0,'Eigen informatie GS &amp; warmtenet'!B57)</f>
        <v>0</v>
      </c>
      <c r="D5" s="30">
        <f>(SUM(HH_hh_gas_kWh,HH_rest_gas_kWh)/1000)*0.902</f>
        <v>70474.297299999991</v>
      </c>
      <c r="E5" s="17">
        <f>B46*B57</f>
        <v>3354.284004844998</v>
      </c>
      <c r="F5" s="17">
        <f>B51*B62</f>
        <v>112950.23138065969</v>
      </c>
      <c r="G5" s="18"/>
      <c r="H5" s="17"/>
      <c r="I5" s="17"/>
      <c r="J5" s="17">
        <f>B50*B61+C50*C61</f>
        <v>0</v>
      </c>
      <c r="K5" s="17"/>
      <c r="L5" s="17"/>
      <c r="M5" s="17"/>
      <c r="N5" s="17">
        <f>B48*B59+C48*C59</f>
        <v>21519.990349093187</v>
      </c>
      <c r="O5" s="17">
        <f>B69*B70*B71</f>
        <v>200.10666666666668</v>
      </c>
      <c r="P5" s="17">
        <f>B77*B78*B79/1000-B77*B78*B79/1000/B80</f>
        <v>495.73333333333335</v>
      </c>
    </row>
    <row r="6" spans="1:16">
      <c r="A6" s="16" t="s">
        <v>633</v>
      </c>
      <c r="B6" s="830">
        <f>kWh_PV_kleiner_dan_10kW</f>
        <v>3936.5923042080422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55618.678304208042</v>
      </c>
      <c r="C8" s="21">
        <f>C5</f>
        <v>0</v>
      </c>
      <c r="D8" s="21">
        <f>D5</f>
        <v>70474.297299999991</v>
      </c>
      <c r="E8" s="21">
        <f>E5</f>
        <v>3354.284004844998</v>
      </c>
      <c r="F8" s="21">
        <f>F5</f>
        <v>112950.23138065969</v>
      </c>
      <c r="G8" s="21"/>
      <c r="H8" s="21"/>
      <c r="I8" s="21"/>
      <c r="J8" s="21">
        <f>J5</f>
        <v>0</v>
      </c>
      <c r="K8" s="21"/>
      <c r="L8" s="21">
        <f>L5</f>
        <v>0</v>
      </c>
      <c r="M8" s="21">
        <f>M5</f>
        <v>0</v>
      </c>
      <c r="N8" s="21">
        <f>N5</f>
        <v>21519.990349093187</v>
      </c>
      <c r="O8" s="21">
        <f>O5</f>
        <v>200.10666666666668</v>
      </c>
      <c r="P8" s="21">
        <f>P5</f>
        <v>495.73333333333335</v>
      </c>
    </row>
    <row r="9" spans="1:16">
      <c r="B9" s="19"/>
      <c r="C9" s="19"/>
      <c r="D9" s="260"/>
      <c r="E9" s="19"/>
      <c r="F9" s="19"/>
      <c r="G9" s="19"/>
      <c r="H9" s="19"/>
      <c r="I9" s="19"/>
      <c r="J9" s="19"/>
      <c r="K9" s="19"/>
      <c r="L9" s="19"/>
      <c r="M9" s="19"/>
      <c r="N9" s="19"/>
      <c r="O9" s="19"/>
      <c r="P9" s="19"/>
    </row>
    <row r="10" spans="1:16">
      <c r="A10" s="24" t="s">
        <v>215</v>
      </c>
      <c r="B10" s="25">
        <f ca="1">'EF ele_warmte'!B12</f>
        <v>0.2078348232203685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11559.498173105623</v>
      </c>
      <c r="C12" s="23">
        <f ca="1">C10*C8</f>
        <v>0</v>
      </c>
      <c r="D12" s="23">
        <f>D8*D10</f>
        <v>14235.808054599998</v>
      </c>
      <c r="E12" s="23">
        <f>E10*E8</f>
        <v>761.42246909981452</v>
      </c>
      <c r="F12" s="23">
        <f>F10*F8</f>
        <v>30157.711778636141</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1612</v>
      </c>
      <c r="C18" s="167" t="s">
        <v>111</v>
      </c>
      <c r="D18" s="229"/>
      <c r="E18" s="15"/>
    </row>
    <row r="19" spans="1:7">
      <c r="A19" s="172" t="s">
        <v>72</v>
      </c>
      <c r="B19" s="37">
        <f>aantalw2001_ander</f>
        <v>4</v>
      </c>
      <c r="C19" s="167" t="s">
        <v>111</v>
      </c>
      <c r="D19" s="230"/>
      <c r="E19" s="15"/>
    </row>
    <row r="20" spans="1:7">
      <c r="A20" s="172" t="s">
        <v>73</v>
      </c>
      <c r="B20" s="37">
        <f>aantalw2001_propaan</f>
        <v>46</v>
      </c>
      <c r="C20" s="168">
        <f>IF(ISERROR(B20/SUM($B$20,$B$21,$B$22)*100),0,B20/SUM($B$20,$B$21,$B$22)*100)</f>
        <v>6.7846607669616521</v>
      </c>
      <c r="D20" s="230"/>
      <c r="E20" s="15"/>
    </row>
    <row r="21" spans="1:7">
      <c r="A21" s="172" t="s">
        <v>74</v>
      </c>
      <c r="B21" s="37">
        <f>aantalw2001_elektriciteit</f>
        <v>530</v>
      </c>
      <c r="C21" s="168">
        <f>IF(ISERROR(B21/SUM($B$20,$B$21,$B$22)*100),0,B21/SUM($B$20,$B$21,$B$22)*100)</f>
        <v>78.171091445427734</v>
      </c>
      <c r="D21" s="230"/>
      <c r="E21" s="15"/>
    </row>
    <row r="22" spans="1:7">
      <c r="A22" s="172" t="s">
        <v>75</v>
      </c>
      <c r="B22" s="37">
        <f>aantalw2001_hout</f>
        <v>102</v>
      </c>
      <c r="C22" s="168">
        <f>IF(ISERROR(B22/SUM($B$20,$B$21,$B$22)*100),0,B22/SUM($B$20,$B$21,$B$22)*100)</f>
        <v>15.044247787610621</v>
      </c>
      <c r="D22" s="230"/>
      <c r="E22" s="15"/>
    </row>
    <row r="23" spans="1:7">
      <c r="A23" s="172" t="s">
        <v>76</v>
      </c>
      <c r="B23" s="37">
        <f>aantalw2001_niet_gespec</f>
        <v>145</v>
      </c>
      <c r="C23" s="167" t="s">
        <v>111</v>
      </c>
      <c r="D23" s="229"/>
      <c r="E23" s="15"/>
    </row>
    <row r="24" spans="1:7">
      <c r="A24" s="172" t="s">
        <v>77</v>
      </c>
      <c r="B24" s="37">
        <f>aantalw2001_steenkool</f>
        <v>254</v>
      </c>
      <c r="C24" s="167" t="s">
        <v>111</v>
      </c>
      <c r="D24" s="230"/>
      <c r="E24" s="15"/>
    </row>
    <row r="25" spans="1:7">
      <c r="A25" s="172" t="s">
        <v>78</v>
      </c>
      <c r="B25" s="37">
        <f>aantalw2001_stookolie</f>
        <v>8045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12430</v>
      </c>
      <c r="C28" s="36"/>
      <c r="D28" s="229"/>
    </row>
    <row r="29" spans="1:7" s="15" customFormat="1">
      <c r="A29" s="231" t="s">
        <v>714</v>
      </c>
      <c r="B29" s="37">
        <f>SUM(HH_hh_gas_aantal,HH_rest_gas_aantal)</f>
        <v>5047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5047</v>
      </c>
      <c r="C32" s="168">
        <f>IF(ISERROR(B32/SUM($B$32,$B$34,$B$35,$B$36,$B$38,$B$39)*100),0,B32/SUM($B$32,$B$34,$B$35,$B$36,$B$38,$B$39)*100)</f>
        <v>40.688487584650112</v>
      </c>
      <c r="D32" s="234"/>
      <c r="G32" s="15"/>
    </row>
    <row r="33" spans="1:7">
      <c r="A33" s="172" t="s">
        <v>72</v>
      </c>
      <c r="B33" s="34" t="s">
        <v>111</v>
      </c>
      <c r="C33" s="168"/>
      <c r="D33" s="234"/>
      <c r="G33" s="15"/>
    </row>
    <row r="34" spans="1:7">
      <c r="A34" s="172" t="s">
        <v>73</v>
      </c>
      <c r="B34" s="33">
        <f>IF((($B$28-$B$32-$B$39-$B$77-$B$38)*C20/100)&lt;0,0,($B$28-$B$32-$B$39-$B$77-$B$38)*C20/100)</f>
        <v>163.0693215339233</v>
      </c>
      <c r="C34" s="168">
        <f>IF(ISERROR(B34/SUM($B$32,$B$34,$B$35,$B$36,$B$38,$B$39)*100),0,B34/SUM($B$32,$B$34,$B$35,$B$36,$B$38,$B$39)*100)</f>
        <v>1.3146510926630386</v>
      </c>
      <c r="D34" s="234"/>
      <c r="G34" s="15"/>
    </row>
    <row r="35" spans="1:7">
      <c r="A35" s="172" t="s">
        <v>74</v>
      </c>
      <c r="B35" s="33">
        <f>IF((($B$28-$B$32-$B$39-$B$77-$B$38)*C21/100)&lt;0,0,($B$28-$B$32-$B$39-$B$77-$B$38)*C21/100)</f>
        <v>1878.8421828908554</v>
      </c>
      <c r="C35" s="168">
        <f>IF(ISERROR(B35/SUM($B$32,$B$34,$B$35,$B$36,$B$38,$B$39)*100),0,B35/SUM($B$32,$B$34,$B$35,$B$36,$B$38,$B$39)*100)</f>
        <v>15.147066937204572</v>
      </c>
      <c r="D35" s="234"/>
      <c r="G35" s="15"/>
    </row>
    <row r="36" spans="1:7">
      <c r="A36" s="172" t="s">
        <v>75</v>
      </c>
      <c r="B36" s="33">
        <f>IF((($B$28-$B$32-$B$39-$B$77-$B$38)*C22/100)&lt;0,0,($B$28-$B$32-$B$39-$B$77-$B$38)*C22/100)</f>
        <v>361.58849557522126</v>
      </c>
      <c r="C36" s="168">
        <f>IF(ISERROR(B36/SUM($B$32,$B$34,$B$35,$B$36,$B$38,$B$39)*100),0,B36/SUM($B$32,$B$34,$B$35,$B$36,$B$38,$B$39)*100)</f>
        <v>2.91509590112239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4953.5</v>
      </c>
      <c r="C39" s="168">
        <f>IF(ISERROR(B39/SUM($B$32,$B$34,$B$35,$B$36,$B$38,$B$39)*100),0,B39/SUM($B$32,$B$34,$B$35,$B$36,$B$38,$B$39)*100)</f>
        <v>39.934698484359885</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5047</v>
      </c>
      <c r="C44" s="34" t="s">
        <v>111</v>
      </c>
      <c r="D44" s="175"/>
    </row>
    <row r="45" spans="1:7">
      <c r="A45" s="172" t="s">
        <v>72</v>
      </c>
      <c r="B45" s="33" t="str">
        <f t="shared" si="0"/>
        <v>-</v>
      </c>
      <c r="C45" s="34" t="s">
        <v>111</v>
      </c>
      <c r="D45" s="175"/>
    </row>
    <row r="46" spans="1:7">
      <c r="A46" s="172" t="s">
        <v>73</v>
      </c>
      <c r="B46" s="33">
        <f t="shared" si="0"/>
        <v>163.0693215339233</v>
      </c>
      <c r="C46" s="34" t="s">
        <v>111</v>
      </c>
      <c r="D46" s="175"/>
    </row>
    <row r="47" spans="1:7">
      <c r="A47" s="172" t="s">
        <v>74</v>
      </c>
      <c r="B47" s="33">
        <f t="shared" si="0"/>
        <v>1878.8421828908554</v>
      </c>
      <c r="C47" s="34" t="s">
        <v>111</v>
      </c>
      <c r="D47" s="175"/>
    </row>
    <row r="48" spans="1:7">
      <c r="A48" s="172" t="s">
        <v>75</v>
      </c>
      <c r="B48" s="33">
        <f t="shared" si="0"/>
        <v>361.58849557522126</v>
      </c>
      <c r="C48" s="33">
        <f>B48*10</f>
        <v>3615.8849557522126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4953.5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28335.254000000001</v>
      </c>
      <c r="C5" s="17">
        <f>IF(ISERROR('Eigen informatie GS &amp; warmtenet'!B58),0,'Eigen informatie GS &amp; warmtenet'!B58)</f>
        <v>0</v>
      </c>
      <c r="D5" s="30">
        <f>SUM(D6:D12)</f>
        <v>21810.997714000001</v>
      </c>
      <c r="E5" s="17">
        <f>SUM(E6:E12)</f>
        <v>451.2137903143348</v>
      </c>
      <c r="F5" s="17">
        <f>SUM(F6:F12)</f>
        <v>5727.4694937403892</v>
      </c>
      <c r="G5" s="18"/>
      <c r="H5" s="17"/>
      <c r="I5" s="17"/>
      <c r="J5" s="17">
        <f>SUM(J6:J12)</f>
        <v>0</v>
      </c>
      <c r="K5" s="17"/>
      <c r="L5" s="17"/>
      <c r="M5" s="17"/>
      <c r="N5" s="17">
        <f>SUM(N6:N12)</f>
        <v>1601.7878533569803</v>
      </c>
      <c r="O5" s="17">
        <f>B38*B39*B40</f>
        <v>1.5633333333333335</v>
      </c>
      <c r="P5" s="17">
        <f>B46*B47*B48/1000-B46*B47*B48/1000/B49</f>
        <v>0</v>
      </c>
      <c r="R5" s="32"/>
    </row>
    <row r="6" spans="1:18">
      <c r="A6" s="32" t="s">
        <v>54</v>
      </c>
      <c r="B6" s="37">
        <f>B26</f>
        <v>4935.5410000000002</v>
      </c>
      <c r="C6" s="33"/>
      <c r="D6" s="37">
        <f>IF(ISERROR(TER_kantoor_gas_kWh/1000),0,TER_kantoor_gas_kWh/1000)*0.902</f>
        <v>4525.8977500000001</v>
      </c>
      <c r="E6" s="33">
        <f>$C$26*'E Balans VL '!I12/100/3.6*1000000</f>
        <v>172.76335016780186</v>
      </c>
      <c r="F6" s="33">
        <f>$C$26*('E Balans VL '!L12+'E Balans VL '!N12)/100/3.6*1000000</f>
        <v>748.33398062690787</v>
      </c>
      <c r="G6" s="34"/>
      <c r="H6" s="33"/>
      <c r="I6" s="33"/>
      <c r="J6" s="33">
        <f>$C$26*('E Balans VL '!D12+'E Balans VL '!E12)/100/3.6*1000000</f>
        <v>0</v>
      </c>
      <c r="K6" s="33"/>
      <c r="L6" s="33"/>
      <c r="M6" s="33"/>
      <c r="N6" s="33">
        <f>$C$26*'E Balans VL '!Y12/100/3.6*1000000</f>
        <v>38.15018714818131</v>
      </c>
      <c r="O6" s="33"/>
      <c r="P6" s="33"/>
      <c r="R6" s="32"/>
    </row>
    <row r="7" spans="1:18">
      <c r="A7" s="32" t="s">
        <v>53</v>
      </c>
      <c r="B7" s="37">
        <f t="shared" ref="B7:B12" si="0">B27</f>
        <v>3310.0970000000002</v>
      </c>
      <c r="C7" s="33"/>
      <c r="D7" s="37">
        <f>IF(ISERROR(TER_horeca_gas_kWh/1000),0,TER_horeca_gas_kWh/1000)*0.902</f>
        <v>3059.8149119999998</v>
      </c>
      <c r="E7" s="33">
        <f>$C$27*'E Balans VL '!I9/100/3.6*1000000</f>
        <v>186.7334843709792</v>
      </c>
      <c r="F7" s="33">
        <f>$C$27*('E Balans VL '!L9+'E Balans VL '!N9)/100/3.6*1000000</f>
        <v>576.63721571199403</v>
      </c>
      <c r="G7" s="34"/>
      <c r="H7" s="33"/>
      <c r="I7" s="33"/>
      <c r="J7" s="33">
        <f>$C$27*('E Balans VL '!D9+'E Balans VL '!E9)/100/3.6*1000000</f>
        <v>0</v>
      </c>
      <c r="K7" s="33"/>
      <c r="L7" s="33"/>
      <c r="M7" s="33"/>
      <c r="N7" s="33">
        <f>$C$27*'E Balans VL '!Y9/100/3.6*1000000</f>
        <v>0</v>
      </c>
      <c r="O7" s="33"/>
      <c r="P7" s="33"/>
      <c r="R7" s="32"/>
    </row>
    <row r="8" spans="1:18">
      <c r="A8" s="6" t="s">
        <v>52</v>
      </c>
      <c r="B8" s="37">
        <f t="shared" si="0"/>
        <v>9650.2250000000004</v>
      </c>
      <c r="C8" s="33"/>
      <c r="D8" s="37">
        <f>IF(ISERROR(TER_handel_gas_kWh/1000),0,TER_handel_gas_kWh/1000)*0.902</f>
        <v>4403.3754820000004</v>
      </c>
      <c r="E8" s="33">
        <f>$C$28*'E Balans VL '!I13/100/3.6*1000000</f>
        <v>49.54327470135982</v>
      </c>
      <c r="F8" s="33">
        <f>$C$28*('E Balans VL '!L13+'E Balans VL '!N13)/100/3.6*1000000</f>
        <v>1487.9155837168087</v>
      </c>
      <c r="G8" s="34"/>
      <c r="H8" s="33"/>
      <c r="I8" s="33"/>
      <c r="J8" s="33">
        <f>$C$28*('E Balans VL '!D13+'E Balans VL '!E13)/100/3.6*1000000</f>
        <v>0</v>
      </c>
      <c r="K8" s="33"/>
      <c r="L8" s="33"/>
      <c r="M8" s="33"/>
      <c r="N8" s="33">
        <f>$C$28*'E Balans VL '!Y13/100/3.6*1000000</f>
        <v>4.5135280293520239</v>
      </c>
      <c r="O8" s="33"/>
      <c r="P8" s="33"/>
      <c r="R8" s="32"/>
    </row>
    <row r="9" spans="1:18">
      <c r="A9" s="32" t="s">
        <v>51</v>
      </c>
      <c r="B9" s="37">
        <f t="shared" si="0"/>
        <v>3348.1</v>
      </c>
      <c r="C9" s="33"/>
      <c r="D9" s="37">
        <f>IF(ISERROR(TER_gezond_gas_kWh/1000),0,TER_gezond_gas_kWh/1000)*0.902</f>
        <v>6388.290524</v>
      </c>
      <c r="E9" s="33">
        <f>$C$29*'E Balans VL '!I10/100/3.6*1000000</f>
        <v>1.3877636056863749</v>
      </c>
      <c r="F9" s="33">
        <f>$C$29*('E Balans VL '!L10+'E Balans VL '!N10)/100/3.6*1000000</f>
        <v>824.58901184073648</v>
      </c>
      <c r="G9" s="34"/>
      <c r="H9" s="33"/>
      <c r="I9" s="33"/>
      <c r="J9" s="33">
        <f>$C$29*('E Balans VL '!D10+'E Balans VL '!E10)/100/3.6*1000000</f>
        <v>0</v>
      </c>
      <c r="K9" s="33"/>
      <c r="L9" s="33"/>
      <c r="M9" s="33"/>
      <c r="N9" s="33">
        <f>$C$29*'E Balans VL '!Y10/100/3.6*1000000</f>
        <v>28.935870966407059</v>
      </c>
      <c r="O9" s="33"/>
      <c r="P9" s="33"/>
      <c r="R9" s="32"/>
    </row>
    <row r="10" spans="1:18">
      <c r="A10" s="32" t="s">
        <v>50</v>
      </c>
      <c r="B10" s="37">
        <f t="shared" si="0"/>
        <v>6633.3270000000002</v>
      </c>
      <c r="C10" s="33"/>
      <c r="D10" s="37">
        <f>IF(ISERROR(TER_ander_gas_kWh/1000),0,TER_ander_gas_kWh/1000)*0.902</f>
        <v>1974.8225640000001</v>
      </c>
      <c r="E10" s="33">
        <f>$C$30*'E Balans VL '!I14/100/3.6*1000000</f>
        <v>40.436925054070173</v>
      </c>
      <c r="F10" s="33">
        <f>$C$30*('E Balans VL '!L14+'E Balans VL '!N14)/100/3.6*1000000</f>
        <v>1758.5858539724913</v>
      </c>
      <c r="G10" s="34"/>
      <c r="H10" s="33"/>
      <c r="I10" s="33"/>
      <c r="J10" s="33">
        <f>$C$30*('E Balans VL '!D14+'E Balans VL '!E14)/100/3.6*1000000</f>
        <v>0</v>
      </c>
      <c r="K10" s="33"/>
      <c r="L10" s="33"/>
      <c r="M10" s="33"/>
      <c r="N10" s="33">
        <f>$C$30*'E Balans VL '!Y14/100/3.6*1000000</f>
        <v>1528.8385378536384</v>
      </c>
      <c r="O10" s="33"/>
      <c r="P10" s="33"/>
      <c r="R10" s="32"/>
    </row>
    <row r="11" spans="1:18">
      <c r="A11" s="32" t="s">
        <v>55</v>
      </c>
      <c r="B11" s="37">
        <f t="shared" si="0"/>
        <v>457.964</v>
      </c>
      <c r="C11" s="33"/>
      <c r="D11" s="37">
        <f>IF(ISERROR(TER_onderwijs_gas_kWh/1000),0,TER_onderwijs_gas_kWh/1000)*0.902</f>
        <v>1458.796482</v>
      </c>
      <c r="E11" s="33">
        <f>$C$31*'E Balans VL '!I11/100/3.6*1000000</f>
        <v>0.34899241443740175</v>
      </c>
      <c r="F11" s="33">
        <f>$C$31*('E Balans VL '!L11+'E Balans VL '!N11)/100/3.6*1000000</f>
        <v>331.40784787145122</v>
      </c>
      <c r="G11" s="34"/>
      <c r="H11" s="33"/>
      <c r="I11" s="33"/>
      <c r="J11" s="33">
        <f>$C$31*('E Balans VL '!D11+'E Balans VL '!E11)/100/3.6*1000000</f>
        <v>0</v>
      </c>
      <c r="K11" s="33"/>
      <c r="L11" s="33"/>
      <c r="M11" s="33"/>
      <c r="N11" s="33">
        <f>$C$31*'E Balans VL '!Y11/100/3.6*1000000</f>
        <v>1.3497293594015802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28335.254000000001</v>
      </c>
      <c r="C16" s="21">
        <f ca="1">C5+C13+C14</f>
        <v>0</v>
      </c>
      <c r="D16" s="21">
        <f t="shared" ref="D16:N16" ca="1" si="1">MAX((D5+D13+D14),0)</f>
        <v>21810.997714000001</v>
      </c>
      <c r="E16" s="21">
        <f t="shared" si="1"/>
        <v>451.2137903143348</v>
      </c>
      <c r="F16" s="21">
        <f t="shared" ca="1" si="1"/>
        <v>5727.4694937403892</v>
      </c>
      <c r="G16" s="21">
        <f t="shared" si="1"/>
        <v>0</v>
      </c>
      <c r="H16" s="21">
        <f t="shared" si="1"/>
        <v>0</v>
      </c>
      <c r="I16" s="21">
        <f t="shared" si="1"/>
        <v>0</v>
      </c>
      <c r="J16" s="21">
        <f t="shared" si="1"/>
        <v>0</v>
      </c>
      <c r="K16" s="21">
        <f t="shared" si="1"/>
        <v>0</v>
      </c>
      <c r="L16" s="21">
        <f t="shared" ca="1" si="1"/>
        <v>0</v>
      </c>
      <c r="M16" s="21">
        <f t="shared" si="1"/>
        <v>0</v>
      </c>
      <c r="N16" s="21">
        <f t="shared" ca="1" si="1"/>
        <v>1601.7878533569803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0.2078348232203685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5889.0525059942393</v>
      </c>
      <c r="C20" s="23">
        <f t="shared" ref="C20:P20" ca="1" si="2">C16*C18</f>
        <v>0</v>
      </c>
      <c r="D20" s="23">
        <f t="shared" ca="1" si="2"/>
        <v>4405.8215382280005</v>
      </c>
      <c r="E20" s="23">
        <f t="shared" si="2"/>
        <v>102.42553040135401</v>
      </c>
      <c r="F20" s="23">
        <f t="shared" ca="1" si="2"/>
        <v>1529.234354828684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4935.5410000000002</v>
      </c>
      <c r="C26" s="39">
        <f>IF(ISERROR(B26*3.6/1000000/'E Balans VL '!Z12*100),0,B26*3.6/1000000/'E Balans VL '!Z12*100)</f>
        <v>0.10386027536635462</v>
      </c>
      <c r="D26" s="238" t="s">
        <v>720</v>
      </c>
      <c r="F26" s="6"/>
    </row>
    <row r="27" spans="1:18">
      <c r="A27" s="232" t="s">
        <v>53</v>
      </c>
      <c r="B27" s="33">
        <f>IF(ISERROR(TER_horeca_ele_kWh/1000),0,TER_horeca_ele_kWh/1000)</f>
        <v>3310.0970000000002</v>
      </c>
      <c r="C27" s="39">
        <f>IF(ISERROR(B27*3.6/1000000/'E Balans VL '!Z9*100),0,B27*3.6/1000000/'E Balans VL '!Z9*100)</f>
        <v>0.28025661170356575</v>
      </c>
      <c r="D27" s="238" t="s">
        <v>720</v>
      </c>
      <c r="F27" s="6"/>
    </row>
    <row r="28" spans="1:18">
      <c r="A28" s="172" t="s">
        <v>52</v>
      </c>
      <c r="B28" s="33">
        <f>IF(ISERROR(TER_handel_ele_kWh/1000),0,TER_handel_ele_kWh/1000)</f>
        <v>9650.2250000000004</v>
      </c>
      <c r="C28" s="39">
        <f>IF(ISERROR(B28*3.6/1000000/'E Balans VL '!Z13*100),0,B28*3.6/1000000/'E Balans VL '!Z13*100)</f>
        <v>0.26716514470109615</v>
      </c>
      <c r="D28" s="238" t="s">
        <v>720</v>
      </c>
      <c r="F28" s="6"/>
    </row>
    <row r="29" spans="1:18">
      <c r="A29" s="232" t="s">
        <v>51</v>
      </c>
      <c r="B29" s="33">
        <f>IF(ISERROR(TER_gezond_ele_kWh/1000),0,TER_gezond_ele_kWh/1000)</f>
        <v>3348.1</v>
      </c>
      <c r="C29" s="39">
        <f>IF(ISERROR(B29*3.6/1000000/'E Balans VL '!Z10*100),0,B29*3.6/1000000/'E Balans VL '!Z10*100)</f>
        <v>0.43521588198392086</v>
      </c>
      <c r="D29" s="238" t="s">
        <v>720</v>
      </c>
      <c r="F29" s="6"/>
    </row>
    <row r="30" spans="1:18">
      <c r="A30" s="232" t="s">
        <v>50</v>
      </c>
      <c r="B30" s="33">
        <f>IF(ISERROR(TER_ander_ele_kWh/1000),0,TER_ander_ele_kWh/1000)</f>
        <v>6633.3270000000002</v>
      </c>
      <c r="C30" s="39">
        <f>IF(ISERROR(B30*3.6/1000000/'E Balans VL '!Z14*100),0,B30*3.6/1000000/'E Balans VL '!Z14*100)</f>
        <v>0.51414367475562806</v>
      </c>
      <c r="D30" s="238" t="s">
        <v>720</v>
      </c>
      <c r="F30" s="6"/>
    </row>
    <row r="31" spans="1:18">
      <c r="A31" s="232" t="s">
        <v>55</v>
      </c>
      <c r="B31" s="33">
        <f>IF(ISERROR(TER_onderwijs_ele_kWh/1000),0,TER_onderwijs_ele_kWh/1000)</f>
        <v>457.964</v>
      </c>
      <c r="C31" s="39">
        <f>IF(ISERROR(B31*3.6/1000000/'E Balans VL '!Z11*100),0,B31*3.6/1000000/'E Balans VL '!Z11*100)</f>
        <v>8.7616316741420341E-2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11500.307000000003</v>
      </c>
      <c r="C5" s="17">
        <f>IF(ISERROR('Eigen informatie GS &amp; warmtenet'!B59),0,'Eigen informatie GS &amp; warmtenet'!B59)</f>
        <v>0</v>
      </c>
      <c r="D5" s="30">
        <f>SUM(D6:D15)</f>
        <v>117691.64308000001</v>
      </c>
      <c r="E5" s="17">
        <f>SUM(E6:E15)</f>
        <v>175.56431456539647</v>
      </c>
      <c r="F5" s="17">
        <f>SUM(F6:F15)</f>
        <v>6772.2310167346322</v>
      </c>
      <c r="G5" s="18"/>
      <c r="H5" s="17"/>
      <c r="I5" s="17"/>
      <c r="J5" s="17">
        <f>SUM(J6:J15)</f>
        <v>32.989125391540732</v>
      </c>
      <c r="K5" s="17"/>
      <c r="L5" s="17"/>
      <c r="M5" s="17"/>
      <c r="N5" s="17">
        <f>SUM(N6:N15)</f>
        <v>626.39964433511614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1135.961</v>
      </c>
      <c r="C8" s="33"/>
      <c r="D8" s="37">
        <f>IF( ISERROR(IND_metaal_Gas_kWH/1000),0,IND_metaal_Gas_kWH/1000)*0.902</f>
        <v>3814.9341340000005</v>
      </c>
      <c r="E8" s="33">
        <f>C30*'E Balans VL '!I18/100/3.6*1000000</f>
        <v>7.9821473085743753</v>
      </c>
      <c r="F8" s="33">
        <f>C30*'E Balans VL '!L18/100/3.6*1000000+C30*'E Balans VL '!N18/100/3.6*1000000</f>
        <v>124.72187177399138</v>
      </c>
      <c r="G8" s="34"/>
      <c r="H8" s="33"/>
      <c r="I8" s="33"/>
      <c r="J8" s="40">
        <f>C30*'E Balans VL '!D18/100/3.6*1000000+C30*'E Balans VL '!E18/100/3.6*1000000</f>
        <v>23.437323870993183</v>
      </c>
      <c r="K8" s="33"/>
      <c r="L8" s="33"/>
      <c r="M8" s="33"/>
      <c r="N8" s="33">
        <f>C30*'E Balans VL '!Y18/100/3.6*1000000</f>
        <v>4.2576636398234671</v>
      </c>
      <c r="O8" s="33"/>
      <c r="P8" s="33"/>
      <c r="R8" s="32"/>
    </row>
    <row r="9" spans="1:18">
      <c r="A9" s="6" t="s">
        <v>33</v>
      </c>
      <c r="B9" s="37">
        <f t="shared" si="0"/>
        <v>8126.8010000000004</v>
      </c>
      <c r="C9" s="33"/>
      <c r="D9" s="37">
        <f>IF( ISERROR(IND_andere_gas_kWh/1000),0,IND_andere_gas_kWh/1000)*0.902</f>
        <v>963.21152400000005</v>
      </c>
      <c r="E9" s="33">
        <f>C31*'E Balans VL '!I19/100/3.6*1000000</f>
        <v>136.49957844409118</v>
      </c>
      <c r="F9" s="33">
        <f>C31*'E Balans VL '!L19/100/3.6*1000000+C31*'E Balans VL '!N19/100/3.6*1000000</f>
        <v>6353.0701537762752</v>
      </c>
      <c r="G9" s="34"/>
      <c r="H9" s="33"/>
      <c r="I9" s="33"/>
      <c r="J9" s="40">
        <f>C31*'E Balans VL '!D19/100/3.6*1000000+C31*'E Balans VL '!E19/100/3.6*1000000</f>
        <v>0.73296571179945591</v>
      </c>
      <c r="K9" s="33"/>
      <c r="L9" s="33"/>
      <c r="M9" s="33"/>
      <c r="N9" s="33">
        <f>C31*'E Balans VL '!Y19/100/3.6*1000000</f>
        <v>602.32633714347821</v>
      </c>
      <c r="O9" s="33"/>
      <c r="P9" s="33"/>
      <c r="R9" s="32"/>
    </row>
    <row r="10" spans="1:18">
      <c r="A10" s="6" t="s">
        <v>41</v>
      </c>
      <c r="B10" s="37">
        <f t="shared" si="0"/>
        <v>1232.816</v>
      </c>
      <c r="C10" s="33"/>
      <c r="D10" s="37">
        <f>IF( ISERROR(IND_voed_gas_kWh/1000),0,IND_voed_gas_kWh/1000)*0.902</f>
        <v>590.367118</v>
      </c>
      <c r="E10" s="33">
        <f>C32*'E Balans VL '!I20/100/3.6*1000000</f>
        <v>11.247700887335832</v>
      </c>
      <c r="F10" s="33">
        <f>C32*'E Balans VL '!L20/100/3.6*1000000+C32*'E Balans VL '!N20/100/3.6*1000000</f>
        <v>198.89178102785695</v>
      </c>
      <c r="G10" s="34"/>
      <c r="H10" s="33"/>
      <c r="I10" s="33"/>
      <c r="J10" s="40">
        <f>C32*'E Balans VL '!D20/100/3.6*1000000+C32*'E Balans VL '!E20/100/3.6*1000000</f>
        <v>5.0775445612941343</v>
      </c>
      <c r="K10" s="33"/>
      <c r="L10" s="33"/>
      <c r="M10" s="33"/>
      <c r="N10" s="33">
        <f>C32*'E Balans VL '!Y20/100/3.6*1000000</f>
        <v>18.035125977300901</v>
      </c>
      <c r="O10" s="33"/>
      <c r="P10" s="33"/>
      <c r="R10" s="32"/>
    </row>
    <row r="11" spans="1:18">
      <c r="A11" s="6" t="s">
        <v>40</v>
      </c>
      <c r="B11" s="37">
        <f t="shared" si="0"/>
        <v>250.994</v>
      </c>
      <c r="C11" s="33"/>
      <c r="D11" s="37">
        <f>IF( ISERROR(IND_textiel_gas_kWh/1000),0,IND_textiel_gas_kWh/1000)*0.902</f>
        <v>0</v>
      </c>
      <c r="E11" s="33">
        <f>C33*'E Balans VL '!I21/100/3.6*1000000</f>
        <v>0.57247075660357227</v>
      </c>
      <c r="F11" s="33">
        <f>C33*'E Balans VL '!L21/100/3.6*1000000+C33*'E Balans VL '!N21/100/3.6*1000000</f>
        <v>5.3652295458862227</v>
      </c>
      <c r="G11" s="34"/>
      <c r="H11" s="33"/>
      <c r="I11" s="33"/>
      <c r="J11" s="40">
        <f>C33*'E Balans VL '!D21/100/3.6*1000000+C33*'E Balans VL '!E21/100/3.6*1000000</f>
        <v>0</v>
      </c>
      <c r="K11" s="33"/>
      <c r="L11" s="33"/>
      <c r="M11" s="33"/>
      <c r="N11" s="33">
        <f>C33*'E Balans VL '!Y21/100/3.6*1000000</f>
        <v>1.7805175745134536</v>
      </c>
      <c r="O11" s="33"/>
      <c r="P11" s="33"/>
      <c r="R11" s="32"/>
    </row>
    <row r="12" spans="1:18">
      <c r="A12" s="6" t="s">
        <v>37</v>
      </c>
      <c r="B12" s="37">
        <f t="shared" si="0"/>
        <v>658.61</v>
      </c>
      <c r="C12" s="33"/>
      <c r="D12" s="37">
        <f>IF( ISERROR(IND_min_gas_kWh/1000),0,IND_min_gas_kWh/1000)*0.902</f>
        <v>0</v>
      </c>
      <c r="E12" s="33">
        <f>C34*'E Balans VL '!I22/100/3.6*1000000</f>
        <v>16.335669172931382</v>
      </c>
      <c r="F12" s="33">
        <f>C34*'E Balans VL '!L22/100/3.6*1000000+C34*'E Balans VL '!N22/100/3.6*1000000</f>
        <v>69.983618688287009</v>
      </c>
      <c r="G12" s="34"/>
      <c r="H12" s="33"/>
      <c r="I12" s="33"/>
      <c r="J12" s="40">
        <f>C34*'E Balans VL '!D22/100/3.6*1000000+C34*'E Balans VL '!E22/100/3.6*1000000</f>
        <v>3.7412912474539559</v>
      </c>
      <c r="K12" s="33"/>
      <c r="L12" s="33"/>
      <c r="M12" s="33"/>
      <c r="N12" s="33">
        <f>C34*'E Balans VL '!Y22/100/3.6*1000000</f>
        <v>0</v>
      </c>
      <c r="O12" s="33"/>
      <c r="P12" s="33"/>
      <c r="R12" s="32"/>
    </row>
    <row r="13" spans="1:18">
      <c r="A13" s="6" t="s">
        <v>39</v>
      </c>
      <c r="B13" s="37">
        <f t="shared" si="0"/>
        <v>95.125</v>
      </c>
      <c r="C13" s="33"/>
      <c r="D13" s="37">
        <f>IF( ISERROR(IND_papier_gas_kWh/1000),0,IND_papier_gas_kWh/1000)*0.902</f>
        <v>16.649115999999999</v>
      </c>
      <c r="E13" s="33">
        <f>C35*'E Balans VL '!I23/100/3.6*1000000</f>
        <v>2.926747995860135</v>
      </c>
      <c r="F13" s="33">
        <f>C35*'E Balans VL '!L23/100/3.6*1000000+C35*'E Balans VL '!N23/100/3.6*1000000</f>
        <v>20.198361922335192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112306.48118800001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4635</v>
      </c>
      <c r="C16" s="248">
        <f>'lokale energieproductie'!O89+'lokale energieproductie'!O58</f>
        <v>6621.4285714285716</v>
      </c>
      <c r="D16" s="311">
        <f>('lokale energieproductie'!P58+'lokale energieproductie'!P89)*(-1)</f>
        <v>-13242.857142857143</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16135.307000000003</v>
      </c>
      <c r="C18" s="21">
        <f>C5+C16</f>
        <v>6621.4285714285716</v>
      </c>
      <c r="D18" s="21">
        <f>MAX((D5+D16),0)</f>
        <v>104448.78593714286</v>
      </c>
      <c r="E18" s="21">
        <f>MAX((E5+E16),0)</f>
        <v>175.56431456539647</v>
      </c>
      <c r="F18" s="21">
        <f>MAX((F5+F16),0)</f>
        <v>6772.2310167346322</v>
      </c>
      <c r="G18" s="21"/>
      <c r="H18" s="21"/>
      <c r="I18" s="21"/>
      <c r="J18" s="21">
        <f>MAX((J5+J16),0)</f>
        <v>32.989125391540732</v>
      </c>
      <c r="K18" s="21"/>
      <c r="L18" s="21">
        <f>MAX((L5+L16),0)</f>
        <v>0</v>
      </c>
      <c r="M18" s="21"/>
      <c r="N18" s="21">
        <f>MAX((N5+N16),0)</f>
        <v>626.39964433511614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0.2078348232203685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3353.4786779513752</v>
      </c>
      <c r="C22" s="23">
        <f ca="1">C18*C20</f>
        <v>1573.5630252100839</v>
      </c>
      <c r="D22" s="23">
        <f>D18*D20</f>
        <v>21098.654759302859</v>
      </c>
      <c r="E22" s="23">
        <f>E18*E20</f>
        <v>39.853099406345002</v>
      </c>
      <c r="F22" s="23">
        <f>F18*F20</f>
        <v>1808.1856814681469</v>
      </c>
      <c r="G22" s="23"/>
      <c r="H22" s="23"/>
      <c r="I22" s="23"/>
      <c r="J22" s="23">
        <f>J18*J20</f>
        <v>11.678150388605419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1135.961</v>
      </c>
      <c r="C30" s="39">
        <f>IF(ISERROR(B30*3.6/1000000/'E Balans VL '!Z18*100),0,B30*3.6/1000000/'E Balans VL '!Z18*100)</f>
        <v>7.5621617445915418E-2</v>
      </c>
      <c r="D30" s="238" t="s">
        <v>720</v>
      </c>
    </row>
    <row r="31" spans="1:18">
      <c r="A31" s="6" t="s">
        <v>33</v>
      </c>
      <c r="B31" s="37">
        <f>IF( ISERROR(IND_ander_ele_kWh/1000),0,IND_ander_ele_kWh/1000)</f>
        <v>8126.8010000000004</v>
      </c>
      <c r="C31" s="39">
        <f>IF(ISERROR(B31*3.6/1000000/'E Balans VL '!Z19*100),0,B31*3.6/1000000/'E Balans VL '!Z19*100)</f>
        <v>0.36022888224956195</v>
      </c>
      <c r="D31" s="238" t="s">
        <v>720</v>
      </c>
    </row>
    <row r="32" spans="1:18">
      <c r="A32" s="172" t="s">
        <v>41</v>
      </c>
      <c r="B32" s="37">
        <f>IF( ISERROR(IND_voed_ele_kWh/1000),0,IND_voed_ele_kWh/1000)</f>
        <v>1232.816</v>
      </c>
      <c r="C32" s="39">
        <f>IF(ISERROR(B32*3.6/1000000/'E Balans VL '!Z20*100),0,B32*3.6/1000000/'E Balans VL '!Z20*100)</f>
        <v>4.1179590891392566E-2</v>
      </c>
      <c r="D32" s="238" t="s">
        <v>720</v>
      </c>
    </row>
    <row r="33" spans="1:5">
      <c r="A33" s="172" t="s">
        <v>40</v>
      </c>
      <c r="B33" s="37">
        <f>IF( ISERROR(IND_textiel_ele_kWh/1000),0,IND_textiel_ele_kWh/1000)</f>
        <v>250.994</v>
      </c>
      <c r="C33" s="39">
        <f>IF(ISERROR(B33*3.6/1000000/'E Balans VL '!Z21*100),0,B33*3.6/1000000/'E Balans VL '!Z21*100)</f>
        <v>3.3043938902198339E-2</v>
      </c>
      <c r="D33" s="238" t="s">
        <v>720</v>
      </c>
    </row>
    <row r="34" spans="1:5">
      <c r="A34" s="172" t="s">
        <v>37</v>
      </c>
      <c r="B34" s="37">
        <f>IF( ISERROR(IND_min_ele_kWh/1000),0,IND_min_ele_kWh/1000)</f>
        <v>658.61</v>
      </c>
      <c r="C34" s="39">
        <f>IF(ISERROR(B34*3.6/1000000/'E Balans VL '!Z22*100),0,B34*3.6/1000000/'E Balans VL '!Z22*100)</f>
        <v>0.12809241058037929</v>
      </c>
      <c r="D34" s="238" t="s">
        <v>720</v>
      </c>
    </row>
    <row r="35" spans="1:5">
      <c r="A35" s="172" t="s">
        <v>39</v>
      </c>
      <c r="B35" s="37">
        <f>IF( ISERROR(IND_papier_ele_kWh/1000),0,IND_papier_ele_kWh/1000)</f>
        <v>95.125</v>
      </c>
      <c r="C35" s="39">
        <f>IF(ISERROR(B35*3.6/1000000/'E Balans VL '!Z22*100),0,B35*3.6/1000000/'E Balans VL '!Z22*100)</f>
        <v>1.8500767611270067E-2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3043.1469999999999</v>
      </c>
      <c r="C5" s="17">
        <f>'Eigen informatie GS &amp; warmtenet'!B60</f>
        <v>0</v>
      </c>
      <c r="D5" s="30">
        <f>IF(ISERROR(SUM(LB_lb_gas_kWh,LB_rest_gas_kWh,onbekend_gas_kWh)/1000),0,SUM(LB_lb_gas_kWh,LB_rest_gas_kWh,onbekend_gas_kWh)/1000)*0.902</f>
        <v>2790.7320760000002</v>
      </c>
      <c r="E5" s="17">
        <f>B17*'E Balans VL '!I25/3.6*1000000/100</f>
        <v>31.868494198459203</v>
      </c>
      <c r="F5" s="17">
        <f>B17*('E Balans VL '!L25/3.6*1000000+'E Balans VL '!N25/3.6*1000000)/100</f>
        <v>15630.087534851978</v>
      </c>
      <c r="G5" s="18"/>
      <c r="H5" s="17"/>
      <c r="I5" s="17"/>
      <c r="J5" s="17">
        <f>('E Balans VL '!D25+'E Balans VL '!E25)/3.6*1000000*landbouw!B17/100</f>
        <v>271.78030329188357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3043.1469999999999</v>
      </c>
      <c r="C8" s="21">
        <f>C5+C6</f>
        <v>0</v>
      </c>
      <c r="D8" s="21">
        <f>MAX((D5+D6),0)</f>
        <v>2790.7320760000002</v>
      </c>
      <c r="E8" s="21">
        <f>MAX((E5+E6),0)</f>
        <v>31.868494198459203</v>
      </c>
      <c r="F8" s="21">
        <f>MAX((F5+F6),0)</f>
        <v>15630.087534851978</v>
      </c>
      <c r="G8" s="21"/>
      <c r="H8" s="21"/>
      <c r="I8" s="21"/>
      <c r="J8" s="21">
        <f>MAX((J5+J6),0)</f>
        <v>271.78030329188357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0.2078348232203685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632.47191877859473</v>
      </c>
      <c r="C12" s="23">
        <f ca="1">C8*C10</f>
        <v>0</v>
      </c>
      <c r="D12" s="23">
        <f>D8*D10</f>
        <v>563.72787935200006</v>
      </c>
      <c r="E12" s="23">
        <f>E8*E10</f>
        <v>7.2341481830502392</v>
      </c>
      <c r="F12" s="23">
        <f>F8*F10</f>
        <v>4173.2333718054788</v>
      </c>
      <c r="G12" s="23"/>
      <c r="H12" s="23"/>
      <c r="I12" s="23"/>
      <c r="J12" s="23">
        <f>J8*J10</f>
        <v>96.210227365326773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0.46839906689282418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388.25644287266988</v>
      </c>
      <c r="C26" s="248">
        <f>B26*'GWP N2O_CH4'!B5</f>
        <v>8153.3853003260674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104.8207088331709</v>
      </c>
      <c r="C27" s="248">
        <f>B27*'GWP N2O_CH4'!B5</f>
        <v>2201.234885496589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5.0375881697812952</v>
      </c>
      <c r="C28" s="248">
        <f>B28*'GWP N2O_CH4'!B4</f>
        <v>1561.6523326322015</v>
      </c>
      <c r="D28" s="50"/>
    </row>
    <row r="29" spans="1:4">
      <c r="A29" s="41" t="s">
        <v>278</v>
      </c>
      <c r="B29" s="248">
        <f>B34*'ha_N2O bodem landbouw'!B4</f>
        <v>32.299453893253713</v>
      </c>
      <c r="C29" s="248">
        <f>B29*'GWP N2O_CH4'!B4</f>
        <v>10012.830706908651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5.3379089670923113E-3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5.9156402789124759E-6</v>
      </c>
      <c r="C5" s="446" t="s">
        <v>212</v>
      </c>
      <c r="D5" s="431">
        <f>SUM(D6:D11)</f>
        <v>2.9869074724518705E-5</v>
      </c>
      <c r="E5" s="431">
        <f>SUM(E6:E11)</f>
        <v>3.1872600024023781E-3</v>
      </c>
      <c r="F5" s="444" t="s">
        <v>212</v>
      </c>
      <c r="G5" s="431">
        <f>SUM(G6:G11)</f>
        <v>0.54015009814867898</v>
      </c>
      <c r="H5" s="431">
        <f>SUM(H6:H11)</f>
        <v>0.10042752195575938</v>
      </c>
      <c r="I5" s="446" t="s">
        <v>212</v>
      </c>
      <c r="J5" s="446" t="s">
        <v>212</v>
      </c>
      <c r="K5" s="446" t="s">
        <v>212</v>
      </c>
      <c r="L5" s="446" t="s">
        <v>212</v>
      </c>
      <c r="M5" s="431">
        <f>SUM(M6:M11)</f>
        <v>2.7971211659852318E-2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3.2996839174231242E-6</v>
      </c>
      <c r="C6" s="432"/>
      <c r="D6" s="432">
        <f>vkm_2011_GW_PW*SUMIFS(TableVerdeelsleutelVkm[CNG],TableVerdeelsleutelVkm[Voertuigtype],"Lichte voertuigen")*SUMIFS(TableECFTransport[EnergieConsumptieFactor (PJ per km)],TableECFTransport[Index],CONCATENATE($A6,"_CNG_CNG"))</f>
        <v>1.4224553813176013E-5</v>
      </c>
      <c r="E6" s="434">
        <f>vkm_2011_GW_PW*SUMIFS(TableVerdeelsleutelVkm[LPG],TableVerdeelsleutelVkm[Voertuigtype],"Lichte voertuigen")*SUMIFS(TableECFTransport[EnergieConsumptieFactor (PJ per km)],TableECFTransport[Index],CONCATENATE($A6,"_LPG_LPG"))</f>
        <v>1.47997754423061E-3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0.18204130089146975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4.7927702079191684E-2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1.0078344223825336E-2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6.5648005062922316E-2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2.2509791209178501E-5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2.8358708156867958E-3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1.2121525906495921E-6</v>
      </c>
      <c r="C8" s="432"/>
      <c r="D8" s="434">
        <f>vkm_2011_NGW_PW*SUMIFS(TableVerdeelsleutelVkm[CNG],TableVerdeelsleutelVkm[Voertuigtype],"Lichte voertuigen")*SUMIFS(TableECFTransport[EnergieConsumptieFactor (PJ per km)],TableECFTransport[Index],CONCATENATE($A8,"_CNG_CNG"))</f>
        <v>9.3745826348389737E-6</v>
      </c>
      <c r="E8" s="434">
        <f>vkm_2011_NGW_PW*SUMIFS(TableVerdeelsleutelVkm[LPG],TableVerdeelsleutelVkm[Voertuigtype],"Lichte voertuigen")*SUMIFS(TableECFTransport[EnergieConsumptieFactor (PJ per km)],TableECFTransport[Index],CONCATENATE($A8,"_LPG_LPG"))</f>
        <v>8.9058314574232578E-4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0.10390015270222226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3.0151356835276078E-2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5.8816049013664766E-3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7.898622889189395E-3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2.352792253344279E-6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3.4118926038079412E-4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1.4038037708397592E-6</v>
      </c>
      <c r="C10" s="432"/>
      <c r="D10" s="434">
        <f>vkm_2011_SW_PW*SUMIFS(TableVerdeelsleutelVkm[CNG],TableVerdeelsleutelVkm[Voertuigtype],"Lichte voertuigen")*SUMIFS(TableECFTransport[EnergieConsumptieFactor (PJ per km)],TableECFTransport[Index],CONCATENATE($A10,"_CNG_CNG"))</f>
        <v>6.2699382765037197E-6</v>
      </c>
      <c r="E10" s="434">
        <f>vkm_2011_SW_PW*SUMIFS(TableVerdeelsleutelVkm[LPG],TableVerdeelsleutelVkm[Voertuigtype],"Lichte voertuigen")*SUMIFS(TableECFTransport[EnergieConsumptieFactor (PJ per km)],TableECFTransport[Index],CONCATENATE($A10,"_LPG_LPG"))</f>
        <v>8.1669931242944239E-4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9.2353501987327682E-2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2.2291293177509962E-2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5.0193462851258969E-3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8.830851461554759E-2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3.2307280319137132E-5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3.8148561734670165E-3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1.643233410809021</v>
      </c>
      <c r="C14" s="21"/>
      <c r="D14" s="21">
        <f t="shared" ref="D14:M14" si="0">((D5)*10^9/3600)+D12</f>
        <v>8.2969652012551958</v>
      </c>
      <c r="E14" s="21">
        <f t="shared" si="0"/>
        <v>885.35000066732732</v>
      </c>
      <c r="F14" s="21"/>
      <c r="G14" s="21">
        <f t="shared" si="0"/>
        <v>150041.69393018863</v>
      </c>
      <c r="H14" s="21">
        <f t="shared" si="0"/>
        <v>27896.533876599828</v>
      </c>
      <c r="I14" s="21"/>
      <c r="J14" s="21"/>
      <c r="K14" s="21"/>
      <c r="L14" s="21"/>
      <c r="M14" s="21">
        <f t="shared" si="0"/>
        <v>7769.781016625644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0.2078348232203685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0.34152112544529606</v>
      </c>
      <c r="C18" s="23"/>
      <c r="D18" s="23">
        <f t="shared" ref="D18:M18" si="1">D14*D16</f>
        <v>1.6759869706535497</v>
      </c>
      <c r="E18" s="23">
        <f t="shared" si="1"/>
        <v>200.9744501514833</v>
      </c>
      <c r="F18" s="23"/>
      <c r="G18" s="23">
        <f t="shared" si="1"/>
        <v>40061.132279360369</v>
      </c>
      <c r="H18" s="23">
        <f t="shared" si="1"/>
        <v>6946.2369352733567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1.1217314981602108E-2</v>
      </c>
      <c r="H50" s="322">
        <f t="shared" si="2"/>
        <v>0</v>
      </c>
      <c r="I50" s="322">
        <f t="shared" si="2"/>
        <v>0</v>
      </c>
      <c r="J50" s="322">
        <f t="shared" si="2"/>
        <v>0</v>
      </c>
      <c r="K50" s="322">
        <f t="shared" si="2"/>
        <v>0</v>
      </c>
      <c r="L50" s="322">
        <f t="shared" si="2"/>
        <v>0</v>
      </c>
      <c r="M50" s="322">
        <f t="shared" si="2"/>
        <v>4.7814540430361795E-4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1.1217314981602108E-2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4.7814540430361795E-4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3115.9208282228078</v>
      </c>
      <c r="H54" s="21">
        <f t="shared" si="3"/>
        <v>0</v>
      </c>
      <c r="I54" s="21">
        <f t="shared" si="3"/>
        <v>0</v>
      </c>
      <c r="J54" s="21">
        <f t="shared" si="3"/>
        <v>0</v>
      </c>
      <c r="K54" s="21">
        <f t="shared" si="3"/>
        <v>0</v>
      </c>
      <c r="L54" s="21">
        <f t="shared" si="3"/>
        <v>0</v>
      </c>
      <c r="M54" s="21">
        <f t="shared" si="3"/>
        <v>132.8181678621161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0.2078348232203685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831.95086113548973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6612.9904095690808</v>
      </c>
      <c r="C6" s="1124"/>
      <c r="D6" s="1127"/>
      <c r="E6" s="1127"/>
      <c r="F6" s="1130"/>
      <c r="G6" s="1133"/>
      <c r="H6" s="1121"/>
      <c r="I6" s="1127"/>
      <c r="J6" s="1127"/>
      <c r="K6" s="1127"/>
      <c r="L6" s="1157"/>
      <c r="M6" s="559"/>
      <c r="N6" s="1169"/>
      <c r="O6" s="1170"/>
      <c r="Q6" s="557"/>
      <c r="R6" s="1154"/>
      <c r="S6" s="1154"/>
    </row>
    <row r="7" spans="1:19" s="547" customFormat="1">
      <c r="A7" s="560" t="s">
        <v>253</v>
      </c>
      <c r="B7" s="561">
        <f>N57</f>
        <v>4635</v>
      </c>
      <c r="C7" s="562">
        <f>B100</f>
        <v>5452.9411764705883</v>
      </c>
      <c r="D7" s="563"/>
      <c r="E7" s="563">
        <f>E100</f>
        <v>0</v>
      </c>
      <c r="F7" s="564"/>
      <c r="G7" s="565"/>
      <c r="H7" s="563">
        <f>I100</f>
        <v>0</v>
      </c>
      <c r="I7" s="563">
        <f>G100+F100</f>
        <v>0</v>
      </c>
      <c r="J7" s="563">
        <f>H100+D100+C100</f>
        <v>0</v>
      </c>
      <c r="K7" s="563"/>
      <c r="L7" s="566"/>
      <c r="M7" s="567">
        <f>C7*$C$11+D7*$D$11+E7*$E$11+F7*$F$11+G7*$G$11+H7*$H$11+I7*$I$11+J7*$J$11</f>
        <v>1101.4941176470588</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11247.99040956908</v>
      </c>
      <c r="C9" s="578">
        <f t="shared" ref="C9:L9" si="0">SUM(C7:C8)</f>
        <v>5452.9411764705883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1101.4941176470588</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6621.4285714285716</v>
      </c>
      <c r="C16" s="594">
        <f>B101</f>
        <v>7789.9159663865539</v>
      </c>
      <c r="D16" s="595"/>
      <c r="E16" s="595">
        <f>E101</f>
        <v>0</v>
      </c>
      <c r="F16" s="596"/>
      <c r="G16" s="597"/>
      <c r="H16" s="594">
        <f>I101</f>
        <v>0</v>
      </c>
      <c r="I16" s="595">
        <f>G101+F101</f>
        <v>0</v>
      </c>
      <c r="J16" s="595">
        <f>H101+D101+C101</f>
        <v>0</v>
      </c>
      <c r="K16" s="595"/>
      <c r="L16" s="598"/>
      <c r="M16" s="599">
        <f>C16*$C$21+E16*$E$21+H16*$H$21+I16*$I$21+J16*$J$21+D16*$D$21+F16*$F$21+G16*$G$21+K16*$K$21+L16*$L$21</f>
        <v>1573.5630252100839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6621.4285714285716</v>
      </c>
      <c r="C19" s="577">
        <f>SUM(C16:C18)</f>
        <v>7789.9159663865539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1573.5630252100839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51">
      <c r="A27" s="608"/>
      <c r="B27" s="839">
        <v>73006</v>
      </c>
      <c r="C27" s="839">
        <v>3740</v>
      </c>
      <c r="D27" s="656" t="s">
        <v>894</v>
      </c>
      <c r="E27" s="655" t="s">
        <v>895</v>
      </c>
      <c r="F27" s="655" t="s">
        <v>896</v>
      </c>
      <c r="G27" s="655" t="s">
        <v>897</v>
      </c>
      <c r="H27" s="655" t="s">
        <v>898</v>
      </c>
      <c r="I27" s="655" t="s">
        <v>895</v>
      </c>
      <c r="J27" s="838">
        <v>39794</v>
      </c>
      <c r="K27" s="838">
        <v>39794</v>
      </c>
      <c r="L27" s="655" t="s">
        <v>899</v>
      </c>
      <c r="M27" s="655">
        <v>1030</v>
      </c>
      <c r="N27" s="655">
        <v>4635</v>
      </c>
      <c r="O27" s="655">
        <v>6621.4285714285716</v>
      </c>
      <c r="P27" s="655">
        <v>13242.857142857143</v>
      </c>
      <c r="Q27" s="655">
        <v>0</v>
      </c>
      <c r="R27" s="655">
        <v>0</v>
      </c>
      <c r="S27" s="655">
        <v>0</v>
      </c>
      <c r="T27" s="655">
        <v>0</v>
      </c>
      <c r="U27" s="655">
        <v>0</v>
      </c>
      <c r="V27" s="655">
        <v>0</v>
      </c>
      <c r="W27" s="655">
        <v>0</v>
      </c>
      <c r="X27" s="655">
        <v>400</v>
      </c>
      <c r="Y27" s="655" t="s">
        <v>37</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1030</v>
      </c>
      <c r="N57" s="613">
        <f>SUM(N27:N56)</f>
        <v>4635</v>
      </c>
      <c r="O57" s="613">
        <f t="shared" ref="O57:W57" si="2">SUM(O27:O56)</f>
        <v>6621.4285714285716</v>
      </c>
      <c r="P57" s="613">
        <f t="shared" si="2"/>
        <v>13242.857142857143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1030</v>
      </c>
      <c r="N58" s="613">
        <f t="shared" ref="N58:W58" si="3">SUMIF($Z$27:$Z$56,"industrie",N27:N56)</f>
        <v>4635</v>
      </c>
      <c r="O58" s="613">
        <f t="shared" si="3"/>
        <v>6621.4285714285716</v>
      </c>
      <c r="P58" s="613">
        <f t="shared" si="3"/>
        <v>13242.857142857143</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0.58823529411764697</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5452.9411764705883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7789.9159663865539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2018-06-27T09:03:27Z</dcterms:modified>
</cp:coreProperties>
</file>