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F8" s="1"/>
  <c r="D16" i="16"/>
  <c r="B8" i="9"/>
  <c r="B6" i="48" s="1"/>
  <c r="Q6" s="1"/>
  <c r="J15" i="16"/>
  <c r="O80" i="14"/>
  <c r="J8" i="18"/>
  <c r="E8" i="16"/>
  <c r="H68" i="14"/>
  <c r="H69" s="1"/>
  <c r="D8" i="17"/>
  <c r="C97" i="18"/>
  <c r="I100" s="1"/>
  <c r="H7" s="1"/>
  <c r="I67" i="14" s="1"/>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G22" l="1"/>
  <c r="F7" i="48"/>
  <c r="F24" s="1"/>
  <c r="F12" i="17"/>
  <c r="G48" i="14" s="1"/>
  <c r="L8" i="17"/>
  <c r="L7" i="48" s="1"/>
  <c r="L24" s="1"/>
  <c r="L5" i="17"/>
  <c r="D100" i="18"/>
  <c r="G100"/>
  <c r="L29" i="48"/>
  <c r="E100" i="18"/>
  <c r="E7" s="1"/>
  <c r="H100"/>
  <c r="B81" i="14"/>
  <c r="O78"/>
  <c r="K14" i="48"/>
  <c r="L30"/>
  <c r="L23"/>
  <c r="B100" i="18"/>
  <c r="C7" s="1"/>
  <c r="B35" i="13"/>
  <c r="N8" i="17"/>
  <c r="N5"/>
  <c r="E19" i="18"/>
  <c r="J16"/>
  <c r="K78" i="14" s="1"/>
  <c r="K81" s="1"/>
  <c r="B19" i="18"/>
  <c r="H9"/>
  <c r="M28" i="48"/>
  <c r="C100" i="18"/>
  <c r="I16"/>
  <c r="M16" s="1"/>
  <c r="M19" s="1"/>
  <c r="L12" i="17"/>
  <c r="M48" i="14" s="1"/>
  <c r="D81"/>
  <c r="O79"/>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9" i="18" l="1"/>
  <c r="D67" i="14"/>
  <c r="F67"/>
  <c r="F69" s="1"/>
  <c r="E9" i="18"/>
  <c r="M22" i="14"/>
  <c r="J78"/>
  <c r="I19" i="18"/>
  <c r="O22" i="14"/>
  <c r="N12" i="17"/>
  <c r="O48" i="14" s="1"/>
  <c r="N7" i="48"/>
  <c r="N24" s="1"/>
  <c r="E13" i="14"/>
  <c r="E15" s="1"/>
  <c r="E23" s="1"/>
  <c r="C14" i="48"/>
  <c r="O81" i="14"/>
  <c r="B17" i="6" s="1"/>
  <c r="Q13" i="48"/>
  <c r="D8"/>
  <c r="D25"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C78"/>
  <c r="C81" s="1"/>
  <c r="J81"/>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O13" i="14"/>
  <c r="O15" s="1"/>
  <c r="F13"/>
  <c r="F15" s="1"/>
  <c r="F23" s="1"/>
  <c r="N25" i="48"/>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<sst xmlns="http://schemas.openxmlformats.org/spreadsheetml/2006/main" count="2029" uniqueCount="894">
  <si>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</si>
  <si>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</si>
  <si>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</si>
  <si>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</si>
  <si>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</si>
  <si>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</si>
  <si>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</si>
  <si>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</si>
  <si>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</si>
  <si>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</si>
  <si>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</si>
  <si>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</si>
  <si>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</si>
  <si>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</si>
  <si>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</si>
  <si>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</si>
  <si>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</si>
  <si>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</si>
  <si>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</si>
  <si>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</si>
  <si>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</si>
  <si>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</si>
  <si>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</si>
  <si>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</si>
  <si>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</si>
  <si>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</si>
  <si>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</si>
  <si>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</si>
  <si>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</si>
  <si>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</si>
  <si>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</si>
  <si>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</si>
  <si>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</si>
  <si>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</si>
  <si>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</si>
  <si>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</si>
  <si>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</si>
  <si>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</si>
  <si>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</si>
  <si>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</si>
  <si>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</si>
  <si>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</si>
  <si>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</si>
  <si>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</si>
  <si>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</si>
  <si>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</si>
  <si>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</si>
  <si>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</si>
  <si>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</si>
  <si>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</si>
  <si>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</si>
  <si>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</si>
  <si>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</si>
  <si>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</si>
  <si>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</si>
  <si>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</si>
  <si>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</si>
  <si>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</si>
  <si>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</si>
  <si>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</si>
  <si>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</si>
  <si>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</si>
  <si>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</si>
  <si>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</si>
  <si>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</si>
  <si>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</si>
  <si>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</si>
  <si>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</si>
  <si>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</si>
  <si>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</si>
  <si>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</si>
  <si>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</si>
  <si>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</si>
  <si>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</si>
  <si>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</si>
  <si>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</si>
  <si>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</si>
  <si>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</si>
  <si>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</si>
  <si>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</si>
  <si>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</si>
  <si>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</si>
  <si>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</si>
  <si>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</si>
  <si>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</si>
  <si>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</si>
  <si>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</si>
  <si>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</si>
  <si>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</si>
  <si>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</si>
  <si>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</si>
  <si>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</si>
  <si>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</si>
  <si>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</si>
  <si>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</si>
  <si>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</si>
  <si>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</si>
  <si>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</si>
  <si>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</si>
  <si>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</si>
  <si>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</si>
  <si>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</si>
  <si>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</si>
  <si>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</si>
  <si>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</si>
  <si>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</si>
  <si>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</si>
  <si>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</si>
  <si>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</si>
  <si>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</si>
  <si>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</si>
  <si>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</si>
  <si>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</si>
  <si>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</si>
  <si>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</si>
  <si>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</si>
  <si>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</si>
  <si>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</si>
  <si>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</si>
  <si>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</si>
  <si>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</si>
  <si>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</si>
  <si>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</si>
  <si>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</si>
  <si>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</si>
  <si>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</si>
  <si>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</si>
  <si>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</si>
  <si>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</si>
  <si>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</si>
  <si>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</si>
  <si>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</si>
  <si>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</si>
  <si>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</si>
  <si>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</si>
  <si>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</si>
  <si>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</si>
  <si>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</si>
  <si>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</si>
  <si>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</si>
  <si>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</si>
  <si>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</si>
  <si>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</si>
  <si>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</si>
  <si>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</si>
  <si>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</si>
  <si>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</si>
  <si>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</si>
  <si>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</si>
  <si>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</si>
  <si>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</si>
  <si>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</si>
  <si>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</si>
  <si>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</si>
  <si>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</si>
  <si>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</si>
  <si>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</si>
  <si>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</si>
  <si>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</si>
  <si>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</si>
  <si>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</si>
  <si>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</si>
  <si>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</si>
  <si>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</si>
  <si>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</si>
  <si>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</si>
  <si>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</si>
  <si>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</si>
  <si>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</si>
  <si>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</si>
  <si>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</si>
  <si>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</si>
  <si>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</si>
  <si>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</si>
  <si>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</si>
  <si>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</si>
  <si>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</si>
  <si>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</si>
  <si>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</si>
  <si>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</si>
  <si>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</si>
  <si>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</si>
  <si>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</si>
  <si>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</si>
  <si>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</si>
  <si>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</si>
  <si>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</si>
  <si>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</si>
  <si>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</si>
  <si>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</si>
  <si>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</si>
  <si>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</si>
  <si>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</si>
  <si>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</si>
  <si>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</si>
  <si>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</si>
  <si>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</si>
  <si>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</si>
  <si>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</si>
  <si>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</si>
  <si>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</si>
  <si>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</si>
  <si>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</si>
  <si>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</si>
  <si>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</si>
  <si>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</si>
  <si>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</si>
  <si>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</si>
  <si>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</si>
  <si>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</si>
  <si>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</si>
  <si>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</si>
  <si>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</si>
  <si>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</si>
  <si>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</si>
  <si>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</si>
  <si>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</si>
  <si>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</si>
  <si>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</si>
  <si>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</si>
  <si>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</si>
  <si>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</si>
  <si>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</si>
  <si>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</si>
  <si>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</si>
  <si>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</si>
  <si>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</si>
  <si>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</si>
  <si>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</si>
  <si>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</si>
  <si>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</si>
  <si>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</si>
  <si>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</si>
  <si>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</si>
  <si>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</si>
  <si>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</si>
  <si>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</si>
  <si>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</si>
  <si>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</si>
  <si>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</si>
  <si>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</si>
  <si>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</si>
  <si>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</si>
  <si>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</si>
  <si>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</si>
  <si>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</si>
  <si>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</si>
  <si>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</si>
  <si>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</si>
  <si>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</si>
  <si>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</si>
  <si>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</si>
  <si>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</si>
  <si>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</si>
  <si>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</si>
  <si>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</si>
  <si>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</si>
  <si>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</si>
  <si>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</si>
  <si>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</si>
  <si>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</si>
  <si>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</si>
  <si>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</si>
  <si>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</si>
  <si>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</si>
  <si>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</si>
  <si>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</si>
  <si>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</si>
  <si>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</si>
  <si>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</si>
  <si>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</si>
  <si>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</si>
  <si>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</si>
  <si>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</si>
  <si>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</si>
  <si>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</si>
  <si>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</si>
  <si>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</si>
  <si>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</si>
  <si>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</si>
  <si>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</si>
  <si>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</si>
  <si>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</si>
  <si>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</si>
  <si>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</si>
  <si>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</si>
  <si>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</si>
  <si>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</si>
  <si>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</si>
  <si>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</si>
  <si>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</si>
  <si>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</si>
  <si>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</si>
  <si>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</si>
  <si>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</si>
  <si>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</si>
  <si>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</si>
  <si>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</si>
  <si>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</si>
  <si>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</si>
  <si>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</si>
  <si>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</si>
  <si>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</si>
  <si>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</si>
  <si>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</si>
  <si>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</si>
  <si>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</si>
  <si>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</si>
  <si>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</si>
  <si>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</si>
  <si>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</si>
  <si>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</si>
  <si>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</si>
  <si>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</si>
  <si>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</si>
  <si>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</si>
  <si>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</si>
  <si>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</si>
  <si>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</si>
  <si>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</si>
  <si>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</si>
  <si>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</si>
  <si>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</si>
  <si>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</si>
  <si>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</si>
  <si>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</si>
  <si>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</si>
  <si>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</si>
  <si>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</si>
  <si>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</si>
  <si>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</si>
  <si>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</si>
  <si>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</si>
  <si>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</si>
  <si>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</si>
  <si>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</si>
  <si>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</si>
  <si>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</si>
  <si>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</si>
  <si>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</si>
  <si>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</si>
  <si>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</si>
  <si>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</si>
  <si>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</si>
  <si>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</si>
  <si>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</si>
  <si>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</si>
  <si>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</si>
  <si>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</si>
  <si>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</si>
  <si>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</si>
  <si>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</si>
  <si>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</si>
  <si>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</si>
  <si>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</si>
  <si>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</si>
  <si>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</si>
  <si>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</si>
  <si>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</si>
  <si>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</si>
  <si>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</si>
  <si>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</si>
  <si>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</si>
  <si>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</si>
  <si>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</si>
  <si>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</si>
  <si>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</si>
  <si>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</si>
  <si>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</si>
  <si>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</si>
  <si>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</si>
  <si>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</si>
  <si>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</si>
  <si>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</si>
  <si>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</si>
  <si>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</si>
  <si>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</si>
  <si>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</si>
  <si>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</si>
  <si>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</si>
  <si>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</si>
  <si>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</si>
  <si>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</si>
  <si>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</si>
  <si>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</si>
  <si>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</si>
  <si>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</si>
  <si>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</si>
  <si>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</si>
  <si>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</si>
  <si>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</si>
  <si>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</si>
  <si>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</si>
  <si>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</si>
  <si>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</si>
  <si>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</si>
  <si>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</si>
  <si>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</si>
  <si>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</si>
  <si>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</si>
  <si>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</si>
  <si>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</si>
  <si>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</si>
  <si>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</si>
  <si>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</si>
  <si>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</si>
  <si>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</si>
  <si>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</si>
  <si>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</si>
  <si>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</si>
  <si>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</si>
  <si>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</si>
  <si>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</si>
  <si>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</si>
  <si>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</si>
  <si>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</si>
  <si>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</si>
  <si>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</si>
  <si>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</si>
  <si>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</si>
  <si>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</si>
  <si>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</si>
  <si>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</si>
  <si>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</si>
  <si>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</si>
  <si>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</si>
  <si>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</si>
  <si>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</si>
  <si>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</si>
  <si>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</si>
  <si>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</si>
  <si>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</si>
  <si>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</si>
  <si>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</si>
  <si>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</si>
  <si>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</si>
  <si>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</si>
  <si>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</si>
  <si>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</si>
  <si>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</si>
  <si>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</si>
  <si>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</si>
  <si>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</si>
  <si>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</si>
  <si>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</si>
  <si>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</si>
  <si>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</si>
  <si>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</si>
  <si>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</si>
  <si>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</si>
  <si>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</si>
  <si>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</si>
  <si>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</si>
  <si>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</si>
  <si>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</si>
  <si>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</si>
  <si>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</si>
  <si>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</si>
  <si>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</si>
  <si>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</si>
  <si>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</si>
  <si>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</si>
  <si>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</si>
  <si>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</si>
  <si>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</si>
  <si>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</si>
  <si>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</si>
  <si>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</si>
  <si>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</si>
  <si>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</si>
  <si>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</si>
  <si>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</si>
  <si>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</si>
  <si>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</si>
  <si>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</si>
  <si>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</si>
  <si>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</si>
  <si>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</si>
  <si>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</si>
  <si>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</si>
  <si>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</si>
  <si>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</si>
  <si>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</si>
  <si>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</si>
  <si>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</si>
  <si>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</si>
  <si>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</si>
  <si>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</si>
  <si>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</si>
  <si>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</si>
  <si>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</si>
  <si>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</si>
  <si>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</si>
  <si>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</si>
  <si>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</si>
  <si>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</si>
  <si>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</si>
  <si>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</si>
  <si>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</si>
  <si>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</si>
  <si>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</si>
  <si>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</si>
  <si>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</si>
  <si>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</si>
  <si>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</si>
  <si>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</si>
  <si>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</si>
  <si>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</si>
  <si>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</si>
  <si>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</si>
  <si>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</si>
  <si>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</si>
  <si>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</si>
  <si>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</si>
  <si>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</si>
  <si>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</si>
  <si>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</si>
  <si>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</si>
  <si>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</si>
  <si>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</si>
  <si>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</si>
  <si>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</si>
  <si>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</si>
  <si>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</si>
  <si>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</si>
  <si>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</si>
  <si>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</si>
  <si>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</si>
  <si>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</si>
  <si>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</si>
  <si>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</si>
  <si>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</si>
  <si>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</si>
  <si>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</si>
  <si>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</si>
  <si>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</si>
  <si>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</si>
  <si>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</si>
  <si>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</si>
  <si>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</si>
  <si>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</si>
  <si>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</si>
  <si>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</si>
  <si>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</si>
  <si>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</si>
  <si>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</si>
  <si>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</si>
  <si>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</si>
  <si>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</si>
  <si>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</si>
  <si>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</si>
  <si>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</si>
  <si>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</si>
  <si>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</si>
  <si>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</si>
  <si>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</si>
  <si>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</si>
  <si>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</si>
  <si>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</si>
  <si>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</si>
  <si>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</si>
  <si>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</si>
  <si>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</si>
  <si>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</si>
  <si>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</si>
  <si>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</si>
  <si>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</si>
  <si>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</si>
  <si>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</si>
  <si>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</si>
  <si>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</si>
  <si>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</si>
  <si>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</si>
  <si>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</si>
  <si>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</si>
  <si>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</si>
  <si>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</si>
  <si>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</si>
  <si>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</si>
  <si>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</si>
  <si>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</si>
  <si>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</si>
  <si>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</si>
  <si>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</si>
  <si>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</si>
  <si>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</si>
  <si>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</si>
  <si>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</si>
  <si>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</si>
  <si>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</si>
  <si>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</si>
  <si>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</si>
  <si>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</si>
  <si>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</si>
  <si>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</si>
  <si>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</si>
  <si>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</si>
  <si>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</si>
  <si>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</si>
  <si>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</si>
  <si>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</si>
  <si>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</si>
  <si>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</si>
  <si>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</si>
  <si>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</si>
  <si>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</si>
  <si>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</si>
  <si>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</si>
  <si>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</si>
  <si>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</si>
  <si>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</si>
  <si>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</si>
  <si>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</si>
  <si>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</si>
  <si>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</si>
  <si>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</si>
  <si>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</si>
  <si>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</si>
  <si>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</si>
  <si>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</si>
  <si>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</si>
  <si>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</si>
  <si>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</si>
  <si>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</si>
  <si>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</si>
  <si>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</si>
  <si>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</si>
  <si>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</si>
  <si>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</si>
  <si>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</si>
  <si>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</si>
  <si>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</si>
  <si>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</si>
  <si>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</si>
  <si>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</si>
  <si>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</si>
  <si>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</si>
  <si>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</si>
  <si>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</si>
  <si>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</si>
  <si>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</si>
  <si>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</si>
  <si>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</si>
  <si>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</si>
  <si>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</si>
  <si>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</si>
  <si>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</si>
  <si>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</si>
  <si>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</si>
  <si>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</si>
  <si>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</si>
  <si>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</si>
  <si>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</si>
  <si>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</si>
  <si>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</si>
  <si>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</si>
  <si>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</si>
  <si>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</si>
  <si>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</si>
  <si>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</si>
  <si>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</si>
  <si>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</si>
  <si>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</si>
  <si>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</si>
  <si>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</si>
  <si>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</si>
  <si>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</si>
  <si>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</si>
  <si>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</si>
  <si>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</si>
  <si>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</si>
  <si>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</si>
  <si>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</si>
  <si>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</si>
  <si>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</si>
  <si>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</si>
  <si>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</si>
  <si>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</si>
  <si>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</si>
  <si>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</si>
  <si>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</si>
  <si>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</si>
  <si>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</si>
  <si>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</si>
  <si>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</si>
  <si>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</si>
  <si>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</si>
  <si>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</si>
  <si>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</si>
  <si>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</si>
  <si>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</si>
  <si>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</si>
  <si>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</si>
  <si>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</si>
  <si>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</si>
  <si>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</si>
  <si>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</si>
  <si>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</si>
  <si>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</si>
  <si>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</si>
  <si>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</si>
  <si>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</si>
  <si>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</si>
  <si>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</si>
  <si>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</si>
  <si>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</si>
  <si>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</si>
  <si>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</si>
  <si>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</si>
  <si>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</si>
  <si>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</si>
  <si>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</si>
  <si>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</si>
  <si>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</si>
  <si>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</si>
  <si>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</si>
  <si>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</si>
  <si>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</si>
  <si>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</si>
  <si>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</si>
  <si>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</si>
  <si>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</si>
  <si>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</si>
  <si>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</si>
  <si>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</si>
  <si>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</si>
  <si>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</si>
  <si>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</si>
  <si>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</si>
  <si>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</si>
  <si>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</si>
  <si>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</si>
  <si>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</si>
  <si>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</si>
  <si>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</si>
  <si>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</si>
  <si>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</si>
  <si>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</si>
  <si>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</si>
  <si>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</si>
  <si>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</si>
  <si>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</si>
  <si>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</si>
  <si>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</si>
  <si>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</si>
  <si>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</si>
  <si>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</si>
  <si>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</si>
  <si>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</si>
  <si>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</si>
  <si>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</si>
  <si>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</si>
  <si>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</si>
  <si>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</si>
  <si>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</si>
  <si>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</si>
  <si>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</si>
  <si>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</si>
  <si>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</si>
  <si>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</si>
  <si>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</si>
  <si>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</si>
  <si>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</si>
  <si>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</si>
  <si>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</si>
  <si>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</si>
  <si>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</si>
  <si>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</si>
  <si>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</si>
  <si>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</si>
  <si>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</si>
  <si>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</si>
  <si>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</si>
  <si>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</si>
  <si>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</si>
  <si>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</si>
  <si>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</si>
  <si>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</si>
  <si>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</si>
  <si>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</si>
  <si>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</si>
  <si>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</si>
  <si>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</si>
  <si>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</si>
  <si>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</si>
  <si>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</si>
  <si>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</si>
  <si>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</si>
  <si>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</si>
  <si>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</si>
  <si>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</si>
  <si>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</si>
  <si>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</si>
  <si>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</si>
  <si>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</si>
  <si>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</si>
  <si>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</si>
  <si>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</si>
  <si>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</si>
  <si>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</si>
  <si>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</si>
  <si>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</si>
  <si>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</si>
  <si>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</si>
  <si>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</si>
  <si>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</si>
  <si>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</si>
  <si>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</si>
  <si>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</si>
  <si>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</si>
  <si>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</si>
  <si>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</si>
  <si>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</si>
  <si>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</si>
  <si>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</si>
  <si>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</si>
  <si>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</si>
  <si>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</si>
  <si>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</si>
  <si>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</si>
  <si>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</si>
  <si>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</si>
  <si>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</si>
  <si>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</si>
  <si>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</si>
  <si>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</si>
  <si>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</si>
  <si>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</si>
  <si>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</si>
  <si>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</si>
  <si>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</si>
  <si>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</si>
  <si>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</si>
  <si>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</si>
  <si>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</si>
  <si>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</si>
  <si>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</si>
  <si>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</si>
  <si>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</si>
  <si>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</si>
  <si>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</si>
  <si>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</si>
  <si>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</si>
  <si>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</si>
  <si>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</si>
  <si>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</si>
  <si>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</si>
  <si>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</si>
  <si>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</si>
  <si>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</si>
  <si>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</si>
  <si>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</si>
  <si>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</si>
  <si>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</si>
  <si>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</si>
  <si>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</si>
  <si>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</si>
  <si>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</si>
  <si>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</si>
  <si>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</si>
  <si>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</si>
  <si>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</si>
  <si>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</si>
  <si>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</si>
  <si>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</si>
  <si>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</si>
  <si>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</si>
  <si>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</si>
  <si>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</si>
  <si>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</si>
  <si>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</si>
  <si>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</si>
  <si>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</si>
  <si>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</si>
  <si>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</si>
  <si>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</si>
  <si>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</si>
  <si>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</si>
  <si>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</si>
  <si>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</si>
  <si>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</si>
  <si>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</si>
  <si>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</si>
  <si>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</si>
  <si>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</si>
  <si>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72041</t>
  </si>
  <si>
    <t>DILSEN-STOKKEM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</si>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</sst>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72041</v>
      </c>
      <c r="B6" s="396"/>
      <c r="C6" s="397"/>
    </row>
    <row r="7" spans="1:7" s="394" customFormat="1" ht="15.75" customHeight="1">
      <c r="A7" s="398" t="str">
        <f>txtMunicipality</f>
        <v>DILSEN-STOKKEM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72041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7778</v>
      </c>
      <c r="C9" s="336">
        <v>8147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2110</v>
      </c>
    </row>
    <row r="15" spans="1:6">
      <c r="A15" s="1194" t="s">
        <v>185</v>
      </c>
      <c r="B15" s="333">
        <v>374</v>
      </c>
    </row>
    <row r="16" spans="1:6">
      <c r="A16" s="1194" t="s">
        <v>6</v>
      </c>
      <c r="B16" s="333">
        <v>714</v>
      </c>
    </row>
    <row r="17" spans="1:6">
      <c r="A17" s="1194" t="s">
        <v>7</v>
      </c>
      <c r="B17" s="333">
        <v>601</v>
      </c>
    </row>
    <row r="18" spans="1:6">
      <c r="A18" s="1194" t="s">
        <v>8</v>
      </c>
      <c r="B18" s="333">
        <v>889</v>
      </c>
    </row>
    <row r="19" spans="1:6">
      <c r="A19" s="1194" t="s">
        <v>9</v>
      </c>
      <c r="B19" s="333">
        <v>789</v>
      </c>
    </row>
    <row r="20" spans="1:6">
      <c r="A20" s="1194" t="s">
        <v>10</v>
      </c>
      <c r="B20" s="333">
        <v>542</v>
      </c>
    </row>
    <row r="21" spans="1:6">
      <c r="A21" s="1194" t="s">
        <v>11</v>
      </c>
      <c r="B21" s="333">
        <v>776</v>
      </c>
    </row>
    <row r="22" spans="1:6">
      <c r="A22" s="1194" t="s">
        <v>12</v>
      </c>
      <c r="B22" s="333">
        <v>3125</v>
      </c>
    </row>
    <row r="23" spans="1:6">
      <c r="A23" s="1194" t="s">
        <v>13</v>
      </c>
      <c r="B23" s="333">
        <v>110</v>
      </c>
    </row>
    <row r="24" spans="1:6">
      <c r="A24" s="1194" t="s">
        <v>14</v>
      </c>
      <c r="B24" s="333">
        <v>3</v>
      </c>
    </row>
    <row r="25" spans="1:6">
      <c r="A25" s="1194" t="s">
        <v>15</v>
      </c>
      <c r="B25" s="333">
        <v>230</v>
      </c>
    </row>
    <row r="26" spans="1:6">
      <c r="A26" s="1194" t="s">
        <v>16</v>
      </c>
      <c r="B26" s="333">
        <v>456</v>
      </c>
    </row>
    <row r="27" spans="1:6">
      <c r="A27" s="1194" t="s">
        <v>17</v>
      </c>
      <c r="B27" s="333">
        <v>533</v>
      </c>
    </row>
    <row r="28" spans="1:6">
      <c r="A28" s="1194" t="s">
        <v>18</v>
      </c>
      <c r="B28" s="333">
        <v>138334</v>
      </c>
    </row>
    <row r="29" spans="1:6">
      <c r="A29" s="1194" t="s">
        <v>888</v>
      </c>
      <c r="B29" s="333">
        <v>144</v>
      </c>
    </row>
    <row r="30" spans="1:6">
      <c r="A30" s="1190" t="s">
        <v>889</v>
      </c>
      <c r="B30" s="1190">
        <v>49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13</v>
      </c>
      <c r="F36" s="333">
        <v>57361</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3178</v>
      </c>
      <c r="D39" s="333">
        <v>55707191</v>
      </c>
      <c r="E39" s="333">
        <v>7824</v>
      </c>
      <c r="F39" s="333">
        <v>33093230</v>
      </c>
    </row>
    <row r="40" spans="1:6">
      <c r="A40" s="1194" t="s">
        <v>30</v>
      </c>
      <c r="B40" s="1194" t="s">
        <v>29</v>
      </c>
      <c r="C40" s="333">
        <v>0</v>
      </c>
      <c r="D40" s="333">
        <v>0</v>
      </c>
      <c r="E40" s="333">
        <v>0</v>
      </c>
      <c r="F40" s="333">
        <v>0</v>
      </c>
    </row>
    <row r="41" spans="1:6">
      <c r="A41" s="1194" t="s">
        <v>32</v>
      </c>
      <c r="B41" s="1194" t="s">
        <v>33</v>
      </c>
      <c r="C41" s="333">
        <v>28</v>
      </c>
      <c r="D41" s="333">
        <v>25090994</v>
      </c>
      <c r="E41" s="333">
        <v>117</v>
      </c>
      <c r="F41" s="333">
        <v>17014163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8</v>
      </c>
      <c r="D44" s="333">
        <v>42458884</v>
      </c>
      <c r="E44" s="333">
        <v>24</v>
      </c>
      <c r="F44" s="333">
        <v>23115246</v>
      </c>
    </row>
    <row r="45" spans="1:6">
      <c r="A45" s="1194" t="s">
        <v>32</v>
      </c>
      <c r="B45" s="1194" t="s">
        <v>37</v>
      </c>
      <c r="C45" s="333">
        <v>4</v>
      </c>
      <c r="D45" s="333">
        <v>1418943</v>
      </c>
      <c r="E45" s="333">
        <v>16</v>
      </c>
      <c r="F45" s="333">
        <v>7160200</v>
      </c>
    </row>
    <row r="46" spans="1:6">
      <c r="A46" s="1194" t="s">
        <v>32</v>
      </c>
      <c r="B46" s="1194" t="s">
        <v>38</v>
      </c>
      <c r="C46" s="333">
        <v>0</v>
      </c>
      <c r="D46" s="333">
        <v>0</v>
      </c>
      <c r="E46" s="333">
        <v>0</v>
      </c>
      <c r="F46" s="333">
        <v>0</v>
      </c>
    </row>
    <row r="47" spans="1:6">
      <c r="A47" s="1194" t="s">
        <v>32</v>
      </c>
      <c r="B47" s="1194" t="s">
        <v>39</v>
      </c>
      <c r="C47" s="333">
        <v>0</v>
      </c>
      <c r="D47" s="333">
        <v>0</v>
      </c>
      <c r="E47" s="333">
        <v>3</v>
      </c>
      <c r="F47" s="333">
        <v>204391</v>
      </c>
    </row>
    <row r="48" spans="1:6">
      <c r="A48" s="1194" t="s">
        <v>32</v>
      </c>
      <c r="B48" s="1194" t="s">
        <v>29</v>
      </c>
      <c r="C48" s="333">
        <v>2</v>
      </c>
      <c r="D48" s="333">
        <v>78298</v>
      </c>
      <c r="E48" s="333">
        <v>2</v>
      </c>
      <c r="F48" s="333">
        <v>632654</v>
      </c>
    </row>
    <row r="49" spans="1:6">
      <c r="A49" s="1194" t="s">
        <v>32</v>
      </c>
      <c r="B49" s="1194" t="s">
        <v>40</v>
      </c>
      <c r="C49" s="333">
        <v>0</v>
      </c>
      <c r="D49" s="333">
        <v>0</v>
      </c>
      <c r="E49" s="333">
        <v>0</v>
      </c>
      <c r="F49" s="333">
        <v>0</v>
      </c>
    </row>
    <row r="50" spans="1:6">
      <c r="A50" s="1194" t="s">
        <v>32</v>
      </c>
      <c r="B50" s="1194" t="s">
        <v>41</v>
      </c>
      <c r="C50" s="333">
        <v>3</v>
      </c>
      <c r="D50" s="333">
        <v>12773285</v>
      </c>
      <c r="E50" s="333">
        <v>10</v>
      </c>
      <c r="F50" s="333">
        <v>6001028</v>
      </c>
    </row>
    <row r="51" spans="1:6">
      <c r="A51" s="1194" t="s">
        <v>42</v>
      </c>
      <c r="B51" s="1194" t="s">
        <v>43</v>
      </c>
      <c r="C51" s="333">
        <v>5</v>
      </c>
      <c r="D51" s="333">
        <v>132035</v>
      </c>
      <c r="E51" s="333">
        <v>39</v>
      </c>
      <c r="F51" s="333">
        <v>1119604</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76</v>
      </c>
      <c r="F54" s="333">
        <v>1068812</v>
      </c>
    </row>
    <row r="55" spans="1:6">
      <c r="A55" s="1194" t="s">
        <v>46</v>
      </c>
      <c r="B55" s="1194" t="s">
        <v>29</v>
      </c>
      <c r="C55" s="333">
        <v>0</v>
      </c>
      <c r="D55" s="333">
        <v>0</v>
      </c>
      <c r="E55" s="333">
        <v>0</v>
      </c>
      <c r="F55" s="333">
        <v>0</v>
      </c>
    </row>
    <row r="56" spans="1:6">
      <c r="A56" s="1194" t="s">
        <v>48</v>
      </c>
      <c r="B56" s="1194" t="s">
        <v>29</v>
      </c>
      <c r="C56" s="333">
        <v>36</v>
      </c>
      <c r="D56" s="333">
        <v>1676195</v>
      </c>
      <c r="E56" s="333">
        <v>174</v>
      </c>
      <c r="F56" s="333">
        <v>2043089</v>
      </c>
    </row>
    <row r="57" spans="1:6">
      <c r="A57" s="1194" t="s">
        <v>49</v>
      </c>
      <c r="B57" s="1194" t="s">
        <v>50</v>
      </c>
      <c r="C57" s="333">
        <v>25</v>
      </c>
      <c r="D57" s="333">
        <v>856578</v>
      </c>
      <c r="E57" s="333">
        <v>73</v>
      </c>
      <c r="F57" s="333">
        <v>4665273</v>
      </c>
    </row>
    <row r="58" spans="1:6">
      <c r="A58" s="1194" t="s">
        <v>49</v>
      </c>
      <c r="B58" s="1194" t="s">
        <v>51</v>
      </c>
      <c r="C58" s="333">
        <v>15</v>
      </c>
      <c r="D58" s="333">
        <v>1666118</v>
      </c>
      <c r="E58" s="333">
        <v>26</v>
      </c>
      <c r="F58" s="333">
        <v>482738</v>
      </c>
    </row>
    <row r="59" spans="1:6">
      <c r="A59" s="1194" t="s">
        <v>49</v>
      </c>
      <c r="B59" s="1194" t="s">
        <v>52</v>
      </c>
      <c r="C59" s="333">
        <v>61</v>
      </c>
      <c r="D59" s="333">
        <v>3145430</v>
      </c>
      <c r="E59" s="333">
        <v>148</v>
      </c>
      <c r="F59" s="333">
        <v>5594055</v>
      </c>
    </row>
    <row r="60" spans="1:6">
      <c r="A60" s="1194" t="s">
        <v>49</v>
      </c>
      <c r="B60" s="1194" t="s">
        <v>53</v>
      </c>
      <c r="C60" s="333">
        <v>26</v>
      </c>
      <c r="D60" s="333">
        <v>1263307</v>
      </c>
      <c r="E60" s="333">
        <v>55</v>
      </c>
      <c r="F60" s="333">
        <v>1721925</v>
      </c>
    </row>
    <row r="61" spans="1:6">
      <c r="A61" s="1194" t="s">
        <v>49</v>
      </c>
      <c r="B61" s="1194" t="s">
        <v>54</v>
      </c>
      <c r="C61" s="333">
        <v>92</v>
      </c>
      <c r="D61" s="333">
        <v>10595564</v>
      </c>
      <c r="E61" s="333">
        <v>254</v>
      </c>
      <c r="F61" s="333">
        <v>4110653</v>
      </c>
    </row>
    <row r="62" spans="1:6">
      <c r="A62" s="1194" t="s">
        <v>49</v>
      </c>
      <c r="B62" s="1194" t="s">
        <v>55</v>
      </c>
      <c r="C62" s="333">
        <v>3</v>
      </c>
      <c r="D62" s="333">
        <v>518384</v>
      </c>
      <c r="E62" s="333">
        <v>6</v>
      </c>
      <c r="F62" s="333">
        <v>113143</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74728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111900726</v>
      </c>
      <c r="E73" s="333">
        <v>116234218.11198471</v>
      </c>
      <c r="F73" s="333">
        <v>112422666</v>
      </c>
    </row>
    <row r="74" spans="1:6">
      <c r="A74" s="1194" t="s">
        <v>64</v>
      </c>
      <c r="B74" s="1194" t="s">
        <v>775</v>
      </c>
      <c r="C74" s="1205" t="s">
        <v>776</v>
      </c>
      <c r="D74" s="333">
        <v>10307171.57766401</v>
      </c>
      <c r="E74" s="333">
        <v>11030761.883922756</v>
      </c>
      <c r="F74" s="333">
        <v>10598797.408646919</v>
      </c>
    </row>
    <row r="75" spans="1:6">
      <c r="A75" s="1194" t="s">
        <v>65</v>
      </c>
      <c r="B75" s="1194" t="s">
        <v>773</v>
      </c>
      <c r="C75" s="1205" t="s">
        <v>777</v>
      </c>
      <c r="D75" s="333">
        <v>17279162</v>
      </c>
      <c r="E75" s="333">
        <v>17822414.668259915</v>
      </c>
      <c r="F75" s="333">
        <v>17300968</v>
      </c>
    </row>
    <row r="76" spans="1:6">
      <c r="A76" s="1194" t="s">
        <v>65</v>
      </c>
      <c r="B76" s="1194" t="s">
        <v>775</v>
      </c>
      <c r="C76" s="1205" t="s">
        <v>778</v>
      </c>
      <c r="D76" s="333">
        <v>453400.57766401034</v>
      </c>
      <c r="E76" s="333">
        <v>537838.82718195685</v>
      </c>
      <c r="F76" s="333">
        <v>497694.40864691819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692650.84467197931</v>
      </c>
      <c r="C83" s="333">
        <v>633349.30453559267</v>
      </c>
      <c r="D83" s="333">
        <v>644333.18270616361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2717.2886308351922</v>
      </c>
    </row>
    <row r="92" spans="1:6">
      <c r="A92" s="1190" t="s">
        <v>69</v>
      </c>
      <c r="B92" s="336">
        <v>5997.6708577956269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1144</v>
      </c>
    </row>
    <row r="98" spans="1:6">
      <c r="A98" s="1194" t="s">
        <v>72</v>
      </c>
      <c r="B98" s="333">
        <v>4</v>
      </c>
    </row>
    <row r="99" spans="1:6">
      <c r="A99" s="1194" t="s">
        <v>73</v>
      </c>
      <c r="B99" s="333">
        <v>64</v>
      </c>
    </row>
    <row r="100" spans="1:6">
      <c r="A100" s="1194" t="s">
        <v>74</v>
      </c>
      <c r="B100" s="333">
        <v>163</v>
      </c>
    </row>
    <row r="101" spans="1:6">
      <c r="A101" s="1194" t="s">
        <v>75</v>
      </c>
      <c r="B101" s="333">
        <v>49</v>
      </c>
    </row>
    <row r="102" spans="1:6">
      <c r="A102" s="1194" t="s">
        <v>76</v>
      </c>
      <c r="B102" s="333">
        <v>96</v>
      </c>
    </row>
    <row r="103" spans="1:6">
      <c r="A103" s="1194" t="s">
        <v>77</v>
      </c>
      <c r="B103" s="333">
        <v>174</v>
      </c>
    </row>
    <row r="104" spans="1:6">
      <c r="A104" s="1194" t="s">
        <v>78</v>
      </c>
      <c r="B104" s="333">
        <v>5008</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0</v>
      </c>
    </row>
    <row r="131" spans="1:6">
      <c r="A131" s="1194" t="s">
        <v>297</v>
      </c>
      <c r="B131" s="333">
        <v>5</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108815.43500671898</v>
      </c>
      <c r="C3" s="43" t="s">
        <v>171</v>
      </c>
      <c r="D3" s="43"/>
      <c r="E3" s="156"/>
      <c r="F3" s="43"/>
      <c r="G3" s="43"/>
      <c r="H3" s="43"/>
      <c r="I3" s="43"/>
      <c r="J3" s="43"/>
      <c r="K3" s="96"/>
    </row>
    <row r="4" spans="1:11">
      <c r="A4" s="364" t="s">
        <v>172</v>
      </c>
      <c r="B4" s="49">
        <f>IF(ISERROR('SEAP template'!B69),0,'SEAP template'!B69)</f>
        <v>8714.9594886308187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0.20330024952922823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1068.8119999999999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1068.8119999999999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0.20330024952922823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217.28974629983347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33093.230000000003</v>
      </c>
      <c r="C5" s="17">
        <f>IF(ISERROR('Eigen informatie GS &amp; warmtenet'!B57),0,'Eigen informatie GS &amp; warmtenet'!B57)</f>
        <v>0</v>
      </c>
      <c r="D5" s="30">
        <f>(SUM(HH_hh_gas_kWh,HH_rest_gas_kWh)/1000)*0.902</f>
        <v>50247.886281999999</v>
      </c>
      <c r="E5" s="17">
        <f>B46*B57</f>
        <v>6718.7138197549766</v>
      </c>
      <c r="F5" s="17">
        <f>B51*B62</f>
        <v>72451.411161584343</v>
      </c>
      <c r="G5" s="18"/>
      <c r="H5" s="17"/>
      <c r="I5" s="17"/>
      <c r="J5" s="17">
        <f>B50*B61+C50*C61</f>
        <v>0</v>
      </c>
      <c r="K5" s="17"/>
      <c r="L5" s="17"/>
      <c r="M5" s="17"/>
      <c r="N5" s="17">
        <f>B48*B59+C48*C59</f>
        <v>14883.399865014788</v>
      </c>
      <c r="O5" s="17">
        <f>B69*B70*B71</f>
        <v>78.166666666666671</v>
      </c>
      <c r="P5" s="17">
        <f>B77*B78*B79/1000-B77*B78*B79/1000/B80</f>
        <v>266.93333333333334</v>
      </c>
    </row>
    <row r="6" spans="1:16">
      <c r="A6" s="16" t="s">
        <v>633</v>
      </c>
      <c r="B6" s="830">
        <f>kWh_PV_kleiner_dan_10kW</f>
        <v>2717.2886308351922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35810.518630835199</v>
      </c>
      <c r="C8" s="21">
        <f>C5</f>
        <v>0</v>
      </c>
      <c r="D8" s="21">
        <f>D5</f>
        <v>50247.886281999999</v>
      </c>
      <c r="E8" s="21">
        <f>E5</f>
        <v>6718.7138197549766</v>
      </c>
      <c r="F8" s="21">
        <f>F5</f>
        <v>72451.411161584343</v>
      </c>
      <c r="G8" s="21"/>
      <c r="H8" s="21"/>
      <c r="I8" s="21"/>
      <c r="J8" s="21">
        <f>J5</f>
        <v>0</v>
      </c>
      <c r="K8" s="21"/>
      <c r="L8" s="21">
        <f>L5</f>
        <v>0</v>
      </c>
      <c r="M8" s="21">
        <f>M5</f>
        <v>0</v>
      </c>
      <c r="N8" s="21">
        <f>N5</f>
        <v>14883.399865014788</v>
      </c>
      <c r="O8" s="21">
        <f>O5</f>
        <v>78.166666666666671</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0.20330024952922823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7280.2873734198729</v>
      </c>
      <c r="C12" s="23">
        <f ca="1">C10*C8</f>
        <v>0</v>
      </c>
      <c r="D12" s="23">
        <f>D8*D10</f>
        <v>10150.073028964001</v>
      </c>
      <c r="E12" s="23">
        <f>E10*E8</f>
        <v>1525.1480370843797</v>
      </c>
      <c r="F12" s="23">
        <f>F10*F8</f>
        <v>19344.52678014302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1144</v>
      </c>
      <c r="C18" s="167" t="s">
        <v>111</v>
      </c>
      <c r="D18" s="229"/>
      <c r="E18" s="15"/>
    </row>
    <row r="19" spans="1:7">
      <c r="A19" s="172" t="s">
        <v>72</v>
      </c>
      <c r="B19" s="37">
        <f>aantalw2001_ander</f>
        <v>4</v>
      </c>
      <c r="C19" s="167" t="s">
        <v>111</v>
      </c>
      <c r="D19" s="230"/>
      <c r="E19" s="15"/>
    </row>
    <row r="20" spans="1:7">
      <c r="A20" s="172" t="s">
        <v>73</v>
      </c>
      <c r="B20" s="37">
        <f>aantalw2001_propaan</f>
        <v>64</v>
      </c>
      <c r="C20" s="168">
        <f>IF(ISERROR(B20/SUM($B$20,$B$21,$B$22)*100),0,B20/SUM($B$20,$B$21,$B$22)*100)</f>
        <v>23.188405797101449</v>
      </c>
      <c r="D20" s="230"/>
      <c r="E20" s="15"/>
    </row>
    <row r="21" spans="1:7">
      <c r="A21" s="172" t="s">
        <v>74</v>
      </c>
      <c r="B21" s="37">
        <f>aantalw2001_elektriciteit</f>
        <v>163</v>
      </c>
      <c r="C21" s="168">
        <f>IF(ISERROR(B21/SUM($B$20,$B$21,$B$22)*100),0,B21/SUM($B$20,$B$21,$B$22)*100)</f>
        <v>59.05797101449275</v>
      </c>
      <c r="D21" s="230"/>
      <c r="E21" s="15"/>
    </row>
    <row r="22" spans="1:7">
      <c r="A22" s="172" t="s">
        <v>75</v>
      </c>
      <c r="B22" s="37">
        <f>aantalw2001_hout</f>
        <v>49</v>
      </c>
      <c r="C22" s="168">
        <f>IF(ISERROR(B22/SUM($B$20,$B$21,$B$22)*100),0,B22/SUM($B$20,$B$21,$B$22)*100)</f>
        <v>17.753623188405797</v>
      </c>
      <c r="D22" s="230"/>
      <c r="E22" s="15"/>
    </row>
    <row r="23" spans="1:7">
      <c r="A23" s="172" t="s">
        <v>76</v>
      </c>
      <c r="B23" s="37">
        <f>aantalw2001_niet_gespec</f>
        <v>96</v>
      </c>
      <c r="C23" s="167" t="s">
        <v>111</v>
      </c>
      <c r="D23" s="229"/>
      <c r="E23" s="15"/>
    </row>
    <row r="24" spans="1:7">
      <c r="A24" s="172" t="s">
        <v>77</v>
      </c>
      <c r="B24" s="37">
        <f>aantalw2001_steenkool</f>
        <v>174</v>
      </c>
      <c r="C24" s="167" t="s">
        <v>111</v>
      </c>
      <c r="D24" s="230"/>
      <c r="E24" s="15"/>
    </row>
    <row r="25" spans="1:7">
      <c r="A25" s="172" t="s">
        <v>78</v>
      </c>
      <c r="B25" s="37">
        <f>aantalw2001_stookolie</f>
        <v>5008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7778</v>
      </c>
      <c r="C28" s="36"/>
      <c r="D28" s="229"/>
    </row>
    <row r="29" spans="1:7" s="15" customFormat="1">
      <c r="A29" s="231" t="s">
        <v>714</v>
      </c>
      <c r="B29" s="37">
        <f>SUM(HH_hh_gas_aantal,HH_rest_gas_aantal)</f>
        <v>3178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3178</v>
      </c>
      <c r="C32" s="168">
        <f>IF(ISERROR(B32/SUM($B$32,$B$34,$B$35,$B$36,$B$38,$B$39)*100),0,B32/SUM($B$32,$B$34,$B$35,$B$36,$B$38,$B$39)*100)</f>
        <v>40.932509015971149</v>
      </c>
      <c r="D32" s="234"/>
      <c r="G32" s="15"/>
    </row>
    <row r="33" spans="1:7">
      <c r="A33" s="172" t="s">
        <v>72</v>
      </c>
      <c r="B33" s="34" t="s">
        <v>111</v>
      </c>
      <c r="C33" s="168"/>
      <c r="D33" s="234"/>
      <c r="G33" s="15"/>
    </row>
    <row r="34" spans="1:7">
      <c r="A34" s="172" t="s">
        <v>73</v>
      </c>
      <c r="B34" s="33">
        <f>IF((($B$28-$B$32-$B$39-$B$77-$B$38)*C20/100)&lt;0,0,($B$28-$B$32-$B$39-$B$77-$B$38)*C20/100)</f>
        <v>326.63188405797109</v>
      </c>
      <c r="C34" s="168">
        <f>IF(ISERROR(B34/SUM($B$32,$B$34,$B$35,$B$36,$B$38,$B$39)*100),0,B34/SUM($B$32,$B$34,$B$35,$B$36,$B$38,$B$39)*100)</f>
        <v>4.2070052042500139</v>
      </c>
      <c r="D34" s="234"/>
      <c r="G34" s="15"/>
    </row>
    <row r="35" spans="1:7">
      <c r="A35" s="172" t="s">
        <v>74</v>
      </c>
      <c r="B35" s="33">
        <f>IF((($B$28-$B$32-$B$39-$B$77-$B$38)*C21/100)&lt;0,0,($B$28-$B$32-$B$39-$B$77-$B$38)*C21/100)</f>
        <v>831.89057971014506</v>
      </c>
      <c r="C35" s="168">
        <f>IF(ISERROR(B35/SUM($B$32,$B$34,$B$35,$B$36,$B$38,$B$39)*100),0,B35/SUM($B$32,$B$34,$B$35,$B$36,$B$38,$B$39)*100)</f>
        <v>10.714716379574254</v>
      </c>
      <c r="D35" s="234"/>
      <c r="G35" s="15"/>
    </row>
    <row r="36" spans="1:7">
      <c r="A36" s="172" t="s">
        <v>75</v>
      </c>
      <c r="B36" s="33">
        <f>IF((($B$28-$B$32-$B$39-$B$77-$B$38)*C22/100)&lt;0,0,($B$28-$B$32-$B$39-$B$77-$B$38)*C22/100)</f>
        <v>250.07753623188412</v>
      </c>
      <c r="C36" s="168">
        <f>IF(ISERROR(B36/SUM($B$32,$B$34,$B$35,$B$36,$B$38,$B$39)*100),0,B36/SUM($B$32,$B$34,$B$35,$B$36,$B$38,$B$39)*100)</f>
        <v>3.220988359503917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3177.3999999999996</v>
      </c>
      <c r="C39" s="168">
        <f>IF(ISERROR(B39/SUM($B$32,$B$34,$B$35,$B$36,$B$38,$B$39)*100),0,B39/SUM($B$32,$B$34,$B$35,$B$36,$B$38,$B$39)*100)</f>
        <v>40.924781040700665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3178</v>
      </c>
      <c r="C44" s="34" t="s">
        <v>111</v>
      </c>
      <c r="D44" s="175"/>
    </row>
    <row r="45" spans="1:7">
      <c r="A45" s="172" t="s">
        <v>72</v>
      </c>
      <c r="B45" s="33" t="str">
        <f t="shared" si="0"/>
        <v>-</v>
      </c>
      <c r="C45" s="34" t="s">
        <v>111</v>
      </c>
      <c r="D45" s="175"/>
    </row>
    <row r="46" spans="1:7">
      <c r="A46" s="172" t="s">
        <v>73</v>
      </c>
      <c r="B46" s="33">
        <f t="shared" si="0"/>
        <v>326.63188405797109</v>
      </c>
      <c r="C46" s="34" t="s">
        <v>111</v>
      </c>
      <c r="D46" s="175"/>
    </row>
    <row r="47" spans="1:7">
      <c r="A47" s="172" t="s">
        <v>74</v>
      </c>
      <c r="B47" s="33">
        <f t="shared" si="0"/>
        <v>831.89057971014506</v>
      </c>
      <c r="C47" s="34" t="s">
        <v>111</v>
      </c>
      <c r="D47" s="175"/>
    </row>
    <row r="48" spans="1:7">
      <c r="A48" s="172" t="s">
        <v>75</v>
      </c>
      <c r="B48" s="33">
        <f t="shared" si="0"/>
        <v>250.07753623188412</v>
      </c>
      <c r="C48" s="33">
        <f>B48*10</f>
        <v>2500.7753623188414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3177.3999999999996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16687.787</v>
      </c>
      <c r="C5" s="17">
        <f>IF(ISERROR('Eigen informatie GS &amp; warmtenet'!B58),0,'Eigen informatie GS &amp; warmtenet'!B58)</f>
        <v>0</v>
      </c>
      <c r="D5" s="30">
        <f>SUM(D6:D12)</f>
        <v>16276.933662000001</v>
      </c>
      <c r="E5" s="17">
        <f>SUM(E6:E12)</f>
        <v>298.47373294938581</v>
      </c>
      <c r="F5" s="17">
        <f>SUM(F6:F12)</f>
        <v>3223.34465848625</v>
      </c>
      <c r="G5" s="18"/>
      <c r="H5" s="17"/>
      <c r="I5" s="17"/>
      <c r="J5" s="17">
        <f>SUM(J6:J12)</f>
        <v>0</v>
      </c>
      <c r="K5" s="17"/>
      <c r="L5" s="17"/>
      <c r="M5" s="17"/>
      <c r="N5" s="17">
        <f>SUM(N6:N12)</f>
        <v>1114.1405968882332</v>
      </c>
      <c r="O5" s="17">
        <f>B38*B39*B40</f>
        <v>0</v>
      </c>
      <c r="P5" s="17">
        <f>B46*B47*B48/1000-B46*B47*B48/1000/B49</f>
        <v>95.333333333333343</v>
      </c>
      <c r="R5" s="32"/>
    </row>
    <row r="6" spans="1:18">
      <c r="A6" s="32" t="s">
        <v>54</v>
      </c>
      <c r="B6" s="37">
        <f>B26</f>
        <v>4110.6530000000002</v>
      </c>
      <c r="C6" s="33"/>
      <c r="D6" s="37">
        <f>IF(ISERROR(TER_kantoor_gas_kWh/1000),0,TER_kantoor_gas_kWh/1000)*0.902</f>
        <v>9557.1987280000012</v>
      </c>
      <c r="E6" s="33">
        <f>$C$26*'E Balans VL '!I12/100/3.6*1000000</f>
        <v>143.88902526740742</v>
      </c>
      <c r="F6" s="33">
        <f>$C$26*('E Balans VL '!L12+'E Balans VL '!N12)/100/3.6*1000000</f>
        <v>623.26324965509184</v>
      </c>
      <c r="G6" s="34"/>
      <c r="H6" s="33"/>
      <c r="I6" s="33"/>
      <c r="J6" s="33">
        <f>$C$26*('E Balans VL '!D12+'E Balans VL '!E12)/100/3.6*1000000</f>
        <v>0</v>
      </c>
      <c r="K6" s="33"/>
      <c r="L6" s="33"/>
      <c r="M6" s="33"/>
      <c r="N6" s="33">
        <f>$C$26*'E Balans VL '!Y12/100/3.6*1000000</f>
        <v>31.774061091019799</v>
      </c>
      <c r="O6" s="33"/>
      <c r="P6" s="33"/>
      <c r="R6" s="32"/>
    </row>
    <row r="7" spans="1:18">
      <c r="A7" s="32" t="s">
        <v>53</v>
      </c>
      <c r="B7" s="37">
        <f t="shared" ref="B7:B12" si="0">B27</f>
        <v>1721.925</v>
      </c>
      <c r="C7" s="33"/>
      <c r="D7" s="37">
        <f>IF(ISERROR(TER_horeca_gas_kWh/1000),0,TER_horeca_gas_kWh/1000)*0.902</f>
        <v>1139.5029140000001</v>
      </c>
      <c r="E7" s="33">
        <f>$C$27*'E Balans VL '!I9/100/3.6*1000000</f>
        <v>97.139466026372759</v>
      </c>
      <c r="F7" s="33">
        <f>$C$27*('E Balans VL '!L9+'E Balans VL '!N9)/100/3.6*1000000</f>
        <v>299.96886425529988</v>
      </c>
      <c r="G7" s="34"/>
      <c r="H7" s="33"/>
      <c r="I7" s="33"/>
      <c r="J7" s="33">
        <f>$C$27*('E Balans VL '!D9+'E Balans VL '!E9)/100/3.6*1000000</f>
        <v>0</v>
      </c>
      <c r="K7" s="33"/>
      <c r="L7" s="33"/>
      <c r="M7" s="33"/>
      <c r="N7" s="33">
        <f>$C$27*'E Balans VL '!Y9/100/3.6*1000000</f>
        <v>0</v>
      </c>
      <c r="O7" s="33"/>
      <c r="P7" s="33"/>
      <c r="R7" s="32"/>
    </row>
    <row r="8" spans="1:18">
      <c r="A8" s="6" t="s">
        <v>52</v>
      </c>
      <c r="B8" s="37">
        <f t="shared" si="0"/>
        <v>5594.0550000000003</v>
      </c>
      <c r="C8" s="33"/>
      <c r="D8" s="37">
        <f>IF(ISERROR(TER_handel_gas_kWh/1000),0,TER_handel_gas_kWh/1000)*0.902</f>
        <v>2837.1778599999998</v>
      </c>
      <c r="E8" s="33">
        <f>$C$28*'E Balans VL '!I13/100/3.6*1000000</f>
        <v>28.719310022254959</v>
      </c>
      <c r="F8" s="33">
        <f>$C$28*('E Balans VL '!L13+'E Balans VL '!N13)/100/3.6*1000000</f>
        <v>862.51684397710221</v>
      </c>
      <c r="G8" s="34"/>
      <c r="H8" s="33"/>
      <c r="I8" s="33"/>
      <c r="J8" s="33">
        <f>$C$28*('E Balans VL '!D13+'E Balans VL '!E13)/100/3.6*1000000</f>
        <v>0</v>
      </c>
      <c r="K8" s="33"/>
      <c r="L8" s="33"/>
      <c r="M8" s="33"/>
      <c r="N8" s="33">
        <f>$C$28*'E Balans VL '!Y13/100/3.6*1000000</f>
        <v>2.6164078081326423</v>
      </c>
      <c r="O8" s="33"/>
      <c r="P8" s="33"/>
      <c r="R8" s="32"/>
    </row>
    <row r="9" spans="1:18">
      <c r="A9" s="32" t="s">
        <v>51</v>
      </c>
      <c r="B9" s="37">
        <f t="shared" si="0"/>
        <v>482.738</v>
      </c>
      <c r="C9" s="33"/>
      <c r="D9" s="37">
        <f>IF(ISERROR(TER_gezond_gas_kWh/1000),0,TER_gezond_gas_kWh/1000)*0.902</f>
        <v>1502.838436</v>
      </c>
      <c r="E9" s="33">
        <f>$C$29*'E Balans VL '!I10/100/3.6*1000000</f>
        <v>0.20009146306317888</v>
      </c>
      <c r="F9" s="33">
        <f>$C$29*('E Balans VL '!L10+'E Balans VL '!N10)/100/3.6*1000000</f>
        <v>118.89144601355197</v>
      </c>
      <c r="G9" s="34"/>
      <c r="H9" s="33"/>
      <c r="I9" s="33"/>
      <c r="J9" s="33">
        <f>$C$29*('E Balans VL '!D10+'E Balans VL '!E10)/100/3.6*1000000</f>
        <v>0</v>
      </c>
      <c r="K9" s="33"/>
      <c r="L9" s="33"/>
      <c r="M9" s="33"/>
      <c r="N9" s="33">
        <f>$C$29*'E Balans VL '!Y10/100/3.6*1000000</f>
        <v>4.1720511569491379</v>
      </c>
      <c r="O9" s="33"/>
      <c r="P9" s="33"/>
      <c r="R9" s="32"/>
    </row>
    <row r="10" spans="1:18">
      <c r="A10" s="32" t="s">
        <v>50</v>
      </c>
      <c r="B10" s="37">
        <f t="shared" si="0"/>
        <v>4665.2730000000001</v>
      </c>
      <c r="C10" s="33"/>
      <c r="D10" s="37">
        <f>IF(ISERROR(TER_ander_gas_kWh/1000),0,TER_ander_gas_kWh/1000)*0.902</f>
        <v>772.63335600000005</v>
      </c>
      <c r="E10" s="33">
        <f>$C$30*'E Balans VL '!I14/100/3.6*1000000</f>
        <v>28.439619312869262</v>
      </c>
      <c r="F10" s="33">
        <f>$C$30*('E Balans VL '!L14+'E Balans VL '!N14)/100/3.6*1000000</f>
        <v>1236.8277792908152</v>
      </c>
      <c r="G10" s="34"/>
      <c r="H10" s="33"/>
      <c r="I10" s="33"/>
      <c r="J10" s="33">
        <f>$C$30*('E Balans VL '!D14+'E Balans VL '!E14)/100/3.6*1000000</f>
        <v>0</v>
      </c>
      <c r="K10" s="33"/>
      <c r="L10" s="33"/>
      <c r="M10" s="33"/>
      <c r="N10" s="33">
        <f>$C$30*'E Balans VL '!Y14/100/3.6*1000000</f>
        <v>1075.2446173704473</v>
      </c>
      <c r="O10" s="33"/>
      <c r="P10" s="33"/>
      <c r="R10" s="32"/>
    </row>
    <row r="11" spans="1:18">
      <c r="A11" s="32" t="s">
        <v>55</v>
      </c>
      <c r="B11" s="37">
        <f t="shared" si="0"/>
        <v>113.143</v>
      </c>
      <c r="C11" s="33"/>
      <c r="D11" s="37">
        <f>IF(ISERROR(TER_onderwijs_gas_kWh/1000),0,TER_onderwijs_gas_kWh/1000)*0.902</f>
        <v>467.58236800000003</v>
      </c>
      <c r="E11" s="33">
        <f>$C$31*'E Balans VL '!I11/100/3.6*1000000</f>
        <v>8.6220857418248906E-2</v>
      </c>
      <c r="F11" s="33">
        <f>$C$31*('E Balans VL '!L11+'E Balans VL '!N11)/100/3.6*1000000</f>
        <v>81.876475294389095</v>
      </c>
      <c r="G11" s="34"/>
      <c r="H11" s="33"/>
      <c r="I11" s="33"/>
      <c r="J11" s="33">
        <f>$C$31*('E Balans VL '!D11+'E Balans VL '!E11)/100/3.6*1000000</f>
        <v>0</v>
      </c>
      <c r="K11" s="33"/>
      <c r="L11" s="33"/>
      <c r="M11" s="33"/>
      <c r="N11" s="33">
        <f>$C$31*'E Balans VL '!Y11/100/3.6*1000000</f>
        <v>0.3334594616842656</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16687.787</v>
      </c>
      <c r="C16" s="21">
        <f ca="1">C5+C13+C14</f>
        <v>0</v>
      </c>
      <c r="D16" s="21">
        <f t="shared" ref="D16:N16" ca="1" si="1">MAX((D5+D13+D14),0)</f>
        <v>16276.933662000001</v>
      </c>
      <c r="E16" s="21">
        <f t="shared" si="1"/>
        <v>298.47373294938581</v>
      </c>
      <c r="F16" s="21">
        <f t="shared" ca="1" si="1"/>
        <v>3223.34465848625</v>
      </c>
      <c r="G16" s="21">
        <f t="shared" si="1"/>
        <v>0</v>
      </c>
      <c r="H16" s="21">
        <f t="shared" si="1"/>
        <v>0</v>
      </c>
      <c r="I16" s="21">
        <f t="shared" si="1"/>
        <v>0</v>
      </c>
      <c r="J16" s="21">
        <f t="shared" si="1"/>
        <v>0</v>
      </c>
      <c r="K16" s="21">
        <f t="shared" si="1"/>
        <v>0</v>
      </c>
      <c r="L16" s="21">
        <f t="shared" ca="1" si="1"/>
        <v>0</v>
      </c>
      <c r="M16" s="21">
        <f t="shared" si="1"/>
        <v>0</v>
      </c>
      <c r="N16" s="21">
        <f t="shared" ca="1" si="1"/>
        <v>1114.1405968882332</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0.20330024952922823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3392.631261190611</v>
      </c>
      <c r="C20" s="23">
        <f t="shared" ref="C20:P20" ca="1" si="2">C16*C18</f>
        <v>0</v>
      </c>
      <c r="D20" s="23">
        <f t="shared" ca="1" si="2"/>
        <v>3287.9405997240005</v>
      </c>
      <c r="E20" s="23">
        <f t="shared" si="2"/>
        <v>67.753537379510576</v>
      </c>
      <c r="F20" s="23">
        <f t="shared" ca="1" si="2"/>
        <v>860.63302381582878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4110.6530000000002</v>
      </c>
      <c r="C26" s="39">
        <f>IF(ISERROR(B26*3.6/1000000/'E Balans VL '!Z12*100),0,B26*3.6/1000000/'E Balans VL '!Z12*100)</f>
        <v>8.6501875380131932E-2</v>
      </c>
      <c r="D26" s="238" t="s">
        <v>720</v>
      </c>
      <c r="F26" s="6"/>
    </row>
    <row r="27" spans="1:18">
      <c r="A27" s="232" t="s">
        <v>53</v>
      </c>
      <c r="B27" s="33">
        <f>IF(ISERROR(TER_horeca_ele_kWh/1000),0,TER_horeca_ele_kWh/1000)</f>
        <v>1721.925</v>
      </c>
      <c r="C27" s="39">
        <f>IF(ISERROR(B27*3.6/1000000/'E Balans VL '!Z9*100),0,B27*3.6/1000000/'E Balans VL '!Z9*100)</f>
        <v>0.14579055118555814</v>
      </c>
      <c r="D27" s="238" t="s">
        <v>720</v>
      </c>
      <c r="F27" s="6"/>
    </row>
    <row r="28" spans="1:18">
      <c r="A28" s="172" t="s">
        <v>52</v>
      </c>
      <c r="B28" s="33">
        <f>IF(ISERROR(TER_handel_ele_kWh/1000),0,TER_handel_ele_kWh/1000)</f>
        <v>5594.0550000000003</v>
      </c>
      <c r="C28" s="39">
        <f>IF(ISERROR(B28*3.6/1000000/'E Balans VL '!Z13*100),0,B28*3.6/1000000/'E Balans VL '!Z13*100)</f>
        <v>0.15487063913441296</v>
      </c>
      <c r="D28" s="238" t="s">
        <v>720</v>
      </c>
      <c r="F28" s="6"/>
    </row>
    <row r="29" spans="1:18">
      <c r="A29" s="232" t="s">
        <v>51</v>
      </c>
      <c r="B29" s="33">
        <f>IF(ISERROR(TER_gezond_ele_kWh/1000),0,TER_gezond_ele_kWh/1000)</f>
        <v>482.738</v>
      </c>
      <c r="C29" s="39">
        <f>IF(ISERROR(B29*3.6/1000000/'E Balans VL '!Z10*100),0,B29*3.6/1000000/'E Balans VL '!Z10*100)</f>
        <v>6.2750588225308074E-2</v>
      </c>
      <c r="D29" s="238" t="s">
        <v>720</v>
      </c>
      <c r="F29" s="6"/>
    </row>
    <row r="30" spans="1:18">
      <c r="A30" s="232" t="s">
        <v>50</v>
      </c>
      <c r="B30" s="33">
        <f>IF(ISERROR(TER_ander_ele_kWh/1000),0,TER_ander_ele_kWh/1000)</f>
        <v>4665.2730000000001</v>
      </c>
      <c r="C30" s="39">
        <f>IF(ISERROR(B30*3.6/1000000/'E Balans VL '!Z14*100),0,B30*3.6/1000000/'E Balans VL '!Z14*100)</f>
        <v>0.36160144132170974</v>
      </c>
      <c r="D30" s="238" t="s">
        <v>720</v>
      </c>
      <c r="F30" s="6"/>
    </row>
    <row r="31" spans="1:18">
      <c r="A31" s="232" t="s">
        <v>55</v>
      </c>
      <c r="B31" s="33">
        <f>IF(ISERROR(TER_onderwijs_ele_kWh/1000),0,TER_onderwijs_ele_kWh/1000)</f>
        <v>113.143</v>
      </c>
      <c r="C31" s="39">
        <f>IF(ISERROR(B31*3.6/1000000/'E Balans VL '!Z11*100),0,B31*3.6/1000000/'E Balans VL '!Z11*100)</f>
        <v>2.1646183815921167E-2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54127.682000000001</v>
      </c>
      <c r="C5" s="17">
        <f>IF(ISERROR('Eigen informatie GS &amp; warmtenet'!B59),0,'Eigen informatie GS &amp; warmtenet'!B59)</f>
        <v>0</v>
      </c>
      <c r="D5" s="30">
        <f>SUM(D6:D15)</f>
        <v>73802.004408000008</v>
      </c>
      <c r="E5" s="17">
        <f>SUM(E6:E15)</f>
        <v>692.54469838125078</v>
      </c>
      <c r="F5" s="17">
        <f>SUM(F6:F15)</f>
        <v>17737.487645851896</v>
      </c>
      <c r="G5" s="18"/>
      <c r="H5" s="17"/>
      <c r="I5" s="17"/>
      <c r="J5" s="17">
        <f>SUM(J6:J15)</f>
        <v>548.10206202342874</v>
      </c>
      <c r="K5" s="17"/>
      <c r="L5" s="17"/>
      <c r="M5" s="17"/>
      <c r="N5" s="17">
        <f>SUM(N6:N15)</f>
        <v>1446.8355118445463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23115.245999999999</v>
      </c>
      <c r="C8" s="33"/>
      <c r="D8" s="37">
        <f>IF( ISERROR(IND_metaal_Gas_kWH/1000),0,IND_metaal_Gas_kWH/1000)*0.902</f>
        <v>38297.913368000001</v>
      </c>
      <c r="E8" s="33">
        <f>C30*'E Balans VL '!I18/100/3.6*1000000</f>
        <v>162.42573349431413</v>
      </c>
      <c r="F8" s="33">
        <f>C30*'E Balans VL '!L18/100/3.6*1000000+C30*'E Balans VL '!N18/100/3.6*1000000</f>
        <v>2537.9187732996706</v>
      </c>
      <c r="G8" s="34"/>
      <c r="H8" s="33"/>
      <c r="I8" s="33"/>
      <c r="J8" s="40">
        <f>C30*'E Balans VL '!D18/100/3.6*1000000+C30*'E Balans VL '!E18/100/3.6*1000000</f>
        <v>476.91734739104555</v>
      </c>
      <c r="K8" s="33"/>
      <c r="L8" s="33"/>
      <c r="M8" s="33"/>
      <c r="N8" s="33">
        <f>C30*'E Balans VL '!Y18/100/3.6*1000000</f>
        <v>86.637606766231272</v>
      </c>
      <c r="O8" s="33"/>
      <c r="P8" s="33"/>
      <c r="R8" s="32"/>
    </row>
    <row r="9" spans="1:18">
      <c r="A9" s="6" t="s">
        <v>33</v>
      </c>
      <c r="B9" s="37">
        <f t="shared" si="0"/>
        <v>17014.163</v>
      </c>
      <c r="C9" s="33"/>
      <c r="D9" s="37">
        <f>IF( ISERROR(IND_andere_gas_kWh/1000),0,IND_andere_gas_kWh/1000)*0.902</f>
        <v>22632.076588</v>
      </c>
      <c r="E9" s="33">
        <f>C31*'E Balans VL '!I19/100/3.6*1000000</f>
        <v>285.77371060015548</v>
      </c>
      <c r="F9" s="33">
        <f>C31*'E Balans VL '!L19/100/3.6*1000000+C31*'E Balans VL '!N19/100/3.6*1000000</f>
        <v>13300.703579032463</v>
      </c>
      <c r="G9" s="34"/>
      <c r="H9" s="33"/>
      <c r="I9" s="33"/>
      <c r="J9" s="40">
        <f>C31*'E Balans VL '!D19/100/3.6*1000000+C31*'E Balans VL '!E19/100/3.6*1000000</f>
        <v>1.5345273120342144</v>
      </c>
      <c r="K9" s="33"/>
      <c r="L9" s="33"/>
      <c r="M9" s="33"/>
      <c r="N9" s="33">
        <f>C31*'E Balans VL '!Y19/100/3.6*1000000</f>
        <v>1261.022446513959</v>
      </c>
      <c r="O9" s="33"/>
      <c r="P9" s="33"/>
      <c r="R9" s="32"/>
    </row>
    <row r="10" spans="1:18">
      <c r="A10" s="6" t="s">
        <v>41</v>
      </c>
      <c r="B10" s="37">
        <f t="shared" si="0"/>
        <v>6001.0280000000002</v>
      </c>
      <c r="C10" s="33"/>
      <c r="D10" s="37">
        <f>IF( ISERROR(IND_voed_gas_kWh/1000),0,IND_voed_gas_kWh/1000)*0.902</f>
        <v>11521.503070000001</v>
      </c>
      <c r="E10" s="33">
        <f>C32*'E Balans VL '!I20/100/3.6*1000000</f>
        <v>54.7508857449345</v>
      </c>
      <c r="F10" s="33">
        <f>C32*'E Balans VL '!L20/100/3.6*1000000+C32*'E Balans VL '!N20/100/3.6*1000000</f>
        <v>968.15351757118538</v>
      </c>
      <c r="G10" s="34"/>
      <c r="H10" s="33"/>
      <c r="I10" s="33"/>
      <c r="J10" s="40">
        <f>C32*'E Balans VL '!D20/100/3.6*1000000+C32*'E Balans VL '!E20/100/3.6*1000000</f>
        <v>24.716167768404873</v>
      </c>
      <c r="K10" s="33"/>
      <c r="L10" s="33"/>
      <c r="M10" s="33"/>
      <c r="N10" s="33">
        <f>C32*'E Balans VL '!Y20/100/3.6*1000000</f>
        <v>87.790307696614974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7160.2</v>
      </c>
      <c r="C12" s="33"/>
      <c r="D12" s="37">
        <f>IF( ISERROR(IND_min_gas_kWh/1000),0,IND_min_gas_kWh/1000)*0.902</f>
        <v>1279.8865860000001</v>
      </c>
      <c r="E12" s="33">
        <f>C34*'E Balans VL '!I22/100/3.6*1000000</f>
        <v>177.596238156152</v>
      </c>
      <c r="F12" s="33">
        <f>C34*'E Balans VL '!L22/100/3.6*1000000+C34*'E Balans VL '!N22/100/3.6*1000000</f>
        <v>760.83980888822316</v>
      </c>
      <c r="G12" s="34"/>
      <c r="H12" s="33"/>
      <c r="I12" s="33"/>
      <c r="J12" s="40">
        <f>C34*'E Balans VL '!D22/100/3.6*1000000+C34*'E Balans VL '!E22/100/3.6*1000000</f>
        <v>40.674137334719809</v>
      </c>
      <c r="K12" s="33"/>
      <c r="L12" s="33"/>
      <c r="M12" s="33"/>
      <c r="N12" s="33">
        <f>C34*'E Balans VL '!Y22/100/3.6*1000000</f>
        <v>0</v>
      </c>
      <c r="O12" s="33"/>
      <c r="P12" s="33"/>
      <c r="R12" s="32"/>
    </row>
    <row r="13" spans="1:18">
      <c r="A13" s="6" t="s">
        <v>39</v>
      </c>
      <c r="B13" s="37">
        <f t="shared" si="0"/>
        <v>204.39099999999999</v>
      </c>
      <c r="C13" s="33"/>
      <c r="D13" s="37">
        <f>IF( ISERROR(IND_papier_gas_kWh/1000),0,IND_papier_gas_kWh/1000)*0.902</f>
        <v>0</v>
      </c>
      <c r="E13" s="33">
        <f>C35*'E Balans VL '!I23/100/3.6*1000000</f>
        <v>6.2885776569970959</v>
      </c>
      <c r="F13" s="33">
        <f>C35*'E Balans VL '!L23/100/3.6*1000000+C35*'E Balans VL '!N23/100/3.6*1000000</f>
        <v>43.399352343421931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632.654</v>
      </c>
      <c r="C15" s="33"/>
      <c r="D15" s="37">
        <f>IF( ISERROR(IND_rest_gas_kWh/1000),0,IND_rest_gas_kWh/1000)*0.902</f>
        <v>70.624796000000003</v>
      </c>
      <c r="E15" s="33">
        <f>C37*'E Balans VL '!I15/100/3.6*1000000</f>
        <v>5.7095527286975356</v>
      </c>
      <c r="F15" s="33">
        <f>C37*'E Balans VL '!L15/100/3.6*1000000+C37*'E Balans VL '!N15/100/3.6*1000000</f>
        <v>126.4726147169321</v>
      </c>
      <c r="G15" s="34"/>
      <c r="H15" s="33"/>
      <c r="I15" s="33"/>
      <c r="J15" s="40">
        <f>C37*'E Balans VL '!D15/100/3.6*1000000+C37*'E Balans VL '!E15/100/3.6*1000000</f>
        <v>4.259882217224181</v>
      </c>
      <c r="K15" s="33"/>
      <c r="L15" s="33"/>
      <c r="M15" s="33"/>
      <c r="N15" s="33">
        <f>C37*'E Balans VL '!Y15/100/3.6*1000000</f>
        <v>11.385150867740983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54127.682000000001</v>
      </c>
      <c r="C18" s="21">
        <f>C5+C16</f>
        <v>0</v>
      </c>
      <c r="D18" s="21">
        <f>MAX((D5+D16),0)</f>
        <v>73802.004408000008</v>
      </c>
      <c r="E18" s="21">
        <f>MAX((E5+E16),0)</f>
        <v>692.54469838125078</v>
      </c>
      <c r="F18" s="21">
        <f>MAX((F5+F16),0)</f>
        <v>17737.487645851896</v>
      </c>
      <c r="G18" s="21"/>
      <c r="H18" s="21"/>
      <c r="I18" s="21"/>
      <c r="J18" s="21">
        <f>MAX((J5+J16),0)</f>
        <v>548.10206202342874</v>
      </c>
      <c r="K18" s="21"/>
      <c r="L18" s="21">
        <f>MAX((L5+L16),0)</f>
        <v>0</v>
      </c>
      <c r="M18" s="21"/>
      <c r="N18" s="21">
        <f>MAX((N5+N16),0)</f>
        <v>1446.8355118445463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0.20330024952922823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11004.171257038715</v>
      </c>
      <c r="C22" s="23">
        <f ca="1">C18*C20</f>
        <v>0</v>
      </c>
      <c r="D22" s="23">
        <f>D18*D20</f>
        <v>14908.004890416003</v>
      </c>
      <c r="E22" s="23">
        <f>E18*E20</f>
        <v>157.20764653254392</v>
      </c>
      <c r="F22" s="23">
        <f>F18*F20</f>
        <v>4735.9092014424568</v>
      </c>
      <c r="G22" s="23"/>
      <c r="H22" s="23"/>
      <c r="I22" s="23"/>
      <c r="J22" s="23">
        <f>J18*J20</f>
        <v>194.02812995629375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23115.245999999999</v>
      </c>
      <c r="C30" s="39">
        <f>IF(ISERROR(B30*3.6/1000000/'E Balans VL '!Z18*100),0,B30*3.6/1000000/'E Balans VL '!Z18*100)</f>
        <v>1.538796041572049</v>
      </c>
      <c r="D30" s="238" t="s">
        <v>720</v>
      </c>
    </row>
    <row r="31" spans="1:18">
      <c r="A31" s="6" t="s">
        <v>33</v>
      </c>
      <c r="B31" s="37">
        <f>IF( ISERROR(IND_ander_ele_kWh/1000),0,IND_ander_ele_kWh/1000)</f>
        <v>17014.163</v>
      </c>
      <c r="C31" s="39">
        <f>IF(ISERROR(B31*3.6/1000000/'E Balans VL '!Z19*100),0,B31*3.6/1000000/'E Balans VL '!Z19*100)</f>
        <v>0.75417041956630337</v>
      </c>
      <c r="D31" s="238" t="s">
        <v>720</v>
      </c>
    </row>
    <row r="32" spans="1:18">
      <c r="A32" s="172" t="s">
        <v>41</v>
      </c>
      <c r="B32" s="37">
        <f>IF( ISERROR(IND_voed_ele_kWh/1000),0,IND_voed_ele_kWh/1000)</f>
        <v>6001.0280000000002</v>
      </c>
      <c r="C32" s="39">
        <f>IF(ISERROR(B32*3.6/1000000/'E Balans VL '!Z20*100),0,B32*3.6/1000000/'E Balans VL '!Z20*100)</f>
        <v>0.20045154992131167</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7160.2</v>
      </c>
      <c r="C34" s="39">
        <f>IF(ISERROR(B34*3.6/1000000/'E Balans VL '!Z22*100),0,B34*3.6/1000000/'E Balans VL '!Z22*100)</f>
        <v>1.3925802496737549</v>
      </c>
      <c r="D34" s="238" t="s">
        <v>720</v>
      </c>
    </row>
    <row r="35" spans="1:5">
      <c r="A35" s="172" t="s">
        <v>39</v>
      </c>
      <c r="B35" s="37">
        <f>IF( ISERROR(IND_papier_ele_kWh/1000),0,IND_papier_ele_kWh/1000)</f>
        <v>204.39099999999999</v>
      </c>
      <c r="C35" s="39">
        <f>IF(ISERROR(B35*3.6/1000000/'E Balans VL '!Z22*100),0,B35*3.6/1000000/'E Balans VL '!Z22*100)</f>
        <v>3.9751804392484623E-2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632.654</v>
      </c>
      <c r="C37" s="39">
        <f>IF(ISERROR(B37*3.6/1000000/'E Balans VL '!Z15*100),0,B37*3.6/1000000/'E Balans VL '!Z15*100)</f>
        <v>4.7059150784702812E-3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1119.604</v>
      </c>
      <c r="C5" s="17">
        <f>'Eigen informatie GS &amp; warmtenet'!B60</f>
        <v>0</v>
      </c>
      <c r="D5" s="30">
        <f>IF(ISERROR(SUM(LB_lb_gas_kWh,LB_rest_gas_kWh,onbekend_gas_kWh)/1000),0,SUM(LB_lb_gas_kWh,LB_rest_gas_kWh,onbekend_gas_kWh)/1000)*0.902</f>
        <v>119.09557</v>
      </c>
      <c r="E5" s="17">
        <f>B17*'E Balans VL '!I25/3.6*1000000/100</f>
        <v>11.724735472381619</v>
      </c>
      <c r="F5" s="17">
        <f>B17*('E Balans VL '!L25/3.6*1000000+'E Balans VL '!N25/3.6*1000000)/100</f>
        <v>5750.4644121267929</v>
      </c>
      <c r="G5" s="18"/>
      <c r="H5" s="17"/>
      <c r="I5" s="17"/>
      <c r="J5" s="17">
        <f>('E Balans VL '!D25+'E Balans VL '!E25)/3.6*1000000*landbouw!B17/100</f>
        <v>99.990672381848782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1119.604</v>
      </c>
      <c r="C8" s="21">
        <f>C5+C6</f>
        <v>0</v>
      </c>
      <c r="D8" s="21">
        <f>MAX((D5+D6),0)</f>
        <v>119.09557</v>
      </c>
      <c r="E8" s="21">
        <f>MAX((E5+E6),0)</f>
        <v>11.724735472381619</v>
      </c>
      <c r="F8" s="21">
        <f>MAX((F5+F6),0)</f>
        <v>5750.4644121267929</v>
      </c>
      <c r="G8" s="21"/>
      <c r="H8" s="21"/>
      <c r="I8" s="21"/>
      <c r="J8" s="21">
        <f>MAX((J5+J6),0)</f>
        <v>99.990672381848782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0.20330024952922823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227.61577257392204</v>
      </c>
      <c r="C12" s="23">
        <f ca="1">C8*C10</f>
        <v>0</v>
      </c>
      <c r="D12" s="23">
        <f>D8*D10</f>
        <v>24.05730514</v>
      </c>
      <c r="E12" s="23">
        <f>E8*E10</f>
        <v>2.6615149522306276</v>
      </c>
      <c r="F12" s="23">
        <f>F8*F10</f>
        <v>1535.3739980378539</v>
      </c>
      <c r="G12" s="23"/>
      <c r="H12" s="23"/>
      <c r="I12" s="23"/>
      <c r="J12" s="23">
        <f>J8*J10</f>
        <v>35.396698023174466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0.17232866795112869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266.22178982862164</v>
      </c>
      <c r="C26" s="248">
        <f>B26*'GWP N2O_CH4'!B5</f>
        <v>5590.6575864010547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60.288521499672441</v>
      </c>
      <c r="C27" s="248">
        <f>B27*'GWP N2O_CH4'!B5</f>
        <v>1266.0589514931212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3.7744909285136838</v>
      </c>
      <c r="C28" s="248">
        <f>B28*'GWP N2O_CH4'!B4</f>
        <v>1170.0921878392419</v>
      </c>
      <c r="D28" s="50"/>
    </row>
    <row r="29" spans="1:4">
      <c r="A29" s="41" t="s">
        <v>278</v>
      </c>
      <c r="B29" s="248">
        <f>B34*'ha_N2O bodem landbouw'!B4</f>
        <v>18.98380159185664</v>
      </c>
      <c r="C29" s="248">
        <f>B29*'GWP N2O_CH4'!B4</f>
        <v>5884.978493475558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3.1373225405472919E-3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3.712953181584696E-6</v>
      </c>
      <c r="C5" s="446" t="s">
        <v>212</v>
      </c>
      <c r="D5" s="431">
        <f>SUM(D6:D11)</f>
        <v>1.7706103551099989E-5</v>
      </c>
      <c r="E5" s="431">
        <f>SUM(E6:E11)</f>
        <v>1.807473239812109E-3</v>
      </c>
      <c r="F5" s="444" t="s">
        <v>212</v>
      </c>
      <c r="G5" s="431">
        <f>SUM(G6:G11)</f>
        <v>0.32229313094041978</v>
      </c>
      <c r="H5" s="431">
        <f>SUM(H6:H11)</f>
        <v>5.9105154079781938E-2</v>
      </c>
      <c r="I5" s="446" t="s">
        <v>212</v>
      </c>
      <c r="J5" s="446" t="s">
        <v>212</v>
      </c>
      <c r="K5" s="446" t="s">
        <v>212</v>
      </c>
      <c r="L5" s="446" t="s">
        <v>212</v>
      </c>
      <c r="M5" s="431">
        <f>SUM(M6:M11)</f>
        <v>1.6651863620693683E-2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3.2163068342599684E-6</v>
      </c>
      <c r="C6" s="432"/>
      <c r="D6" s="432">
        <f>vkm_2011_GW_PW*SUMIFS(TableVerdeelsleutelVkm[CNG],TableVerdeelsleutelVkm[Voertuigtype],"Lichte voertuigen")*SUMIFS(TableECFTransport[EnergieConsumptieFactor (PJ per km)],TableECFTransport[Index],CONCATENATE($A6,"_CNG_CNG"))</f>
        <v>1.3865124899401094E-5</v>
      </c>
      <c r="E6" s="434">
        <f>vkm_2011_GW_PW*SUMIFS(TableVerdeelsleutelVkm[LPG],TableVerdeelsleutelVkm[Voertuigtype],"Lichte voertuigen")*SUMIFS(TableECFTransport[EnergieConsumptieFactor (PJ per km)],TableECFTransport[Index],CONCATENATE($A6,"_LPG_LPG"))</f>
        <v>1.4425811711618573E-3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0.17744144434053977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4.6716655172251438E-2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9.823682575762686E-3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9.6389723392164103E-2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3.3050700416386704E-5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4.1638554475183463E-3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4.9664634732472737E-7</v>
      </c>
      <c r="C8" s="432"/>
      <c r="D8" s="434">
        <f>vkm_2011_NGW_PW*SUMIFS(TableVerdeelsleutelVkm[CNG],TableVerdeelsleutelVkm[Voertuigtype],"Lichte voertuigen")*SUMIFS(TableECFTransport[EnergieConsumptieFactor (PJ per km)],TableECFTransport[Index],CONCATENATE($A8,"_CNG_CNG"))</f>
        <v>3.8409786516988969E-6</v>
      </c>
      <c r="E8" s="434">
        <f>vkm_2011_NGW_PW*SUMIFS(TableVerdeelsleutelVkm[LPG],TableVerdeelsleutelVkm[Voertuigtype],"Lichte voertuigen")*SUMIFS(TableECFTransport[EnergieConsumptieFactor (PJ per km)],TableECFTransport[Index],CONCATENATE($A8,"_LPG_LPG"))</f>
        <v>3.6489206865025168E-4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4.257024381591E-2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1.2353693218689121E-2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2.409826628432539E-3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5.8917193918058873E-3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1.7549884249938874E-6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2.5449896898011433E-4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1.0313758837735265</v>
      </c>
      <c r="C14" s="21"/>
      <c r="D14" s="21">
        <f t="shared" ref="D14:M14" si="0">((D5)*10^9/3600)+D12</f>
        <v>4.9183620975277753</v>
      </c>
      <c r="E14" s="21">
        <f t="shared" si="0"/>
        <v>502.07589994780801</v>
      </c>
      <c r="F14" s="21"/>
      <c r="G14" s="21">
        <f t="shared" si="0"/>
        <v>89525.869705672158</v>
      </c>
      <c r="H14" s="21">
        <f t="shared" si="0"/>
        <v>16418.098355494982</v>
      </c>
      <c r="I14" s="21"/>
      <c r="J14" s="21"/>
      <c r="K14" s="21"/>
      <c r="L14" s="21"/>
      <c r="M14" s="21">
        <f t="shared" si="0"/>
        <v>4625.5176724149123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0.20330024952922823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0.20967897452958623</v>
      </c>
      <c r="C18" s="23"/>
      <c r="D18" s="23">
        <f t="shared" ref="D18:M18" si="1">D14*D16</f>
        <v>0.99350914370061072</v>
      </c>
      <c r="E18" s="23">
        <f t="shared" si="1"/>
        <v>113.97122928815243</v>
      </c>
      <c r="F18" s="23"/>
      <c r="G18" s="23">
        <f t="shared" si="1"/>
        <v>23903.407211414469</v>
      </c>
      <c r="H18" s="23">
        <f t="shared" si="1"/>
        <v>4088.1064905182502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9.0947721648404044E-3</v>
      </c>
      <c r="H50" s="322">
        <f t="shared" si="2"/>
        <v>0</v>
      </c>
      <c r="I50" s="322">
        <f t="shared" si="2"/>
        <v>0</v>
      </c>
      <c r="J50" s="322">
        <f t="shared" si="2"/>
        <v>0</v>
      </c>
      <c r="K50" s="322">
        <f t="shared" si="2"/>
        <v>0</v>
      </c>
      <c r="L50" s="322">
        <f t="shared" si="2"/>
        <v>0</v>
      </c>
      <c r="M50" s="322">
        <f t="shared" si="2"/>
        <v>3.8767062536259592E-4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9.0947721648404044E-3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3.8767062536259592E-4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2526.3256013445566</v>
      </c>
      <c r="H54" s="21">
        <f t="shared" si="3"/>
        <v>0</v>
      </c>
      <c r="I54" s="21">
        <f t="shared" si="3"/>
        <v>0</v>
      </c>
      <c r="J54" s="21">
        <f t="shared" si="3"/>
        <v>0</v>
      </c>
      <c r="K54" s="21">
        <f t="shared" si="3"/>
        <v>0</v>
      </c>
      <c r="L54" s="21">
        <f t="shared" si="3"/>
        <v>0</v>
      </c>
      <c r="M54" s="21">
        <f t="shared" si="3"/>
        <v>107.68628482294331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0.20330024952922823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674.52893555899664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8714.9594886308187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8714.9594886308187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17756.599000000002</v>
      </c>
      <c r="D10" s="702">
        <f ca="1">tertiair!C16</f>
        <v>0</v>
      </c>
      <c r="E10" s="702">
        <f ca="1">tertiair!D16</f>
        <v>16276.933662000001</v>
      </c>
      <c r="F10" s="702">
        <f>tertiair!E16</f>
        <v>298.47373294938581</v>
      </c>
      <c r="G10" s="702">
        <f ca="1">tertiair!F16</f>
        <v>3223.34465848625</v>
      </c>
      <c r="H10" s="702">
        <f>tertiair!G16</f>
        <v>0</v>
      </c>
      <c r="I10" s="702">
        <f>tertiair!H16</f>
        <v>0</v>
      </c>
      <c r="J10" s="702">
        <f>tertiair!I16</f>
        <v>0</v>
      </c>
      <c r="K10" s="702">
        <f>tertiair!J16</f>
        <v>0</v>
      </c>
      <c r="L10" s="702">
        <f>tertiair!K16</f>
        <v>0</v>
      </c>
      <c r="M10" s="702">
        <f ca="1">tertiair!L16</f>
        <v>0</v>
      </c>
      <c r="N10" s="702">
        <f>tertiair!M16</f>
        <v>0</v>
      </c>
      <c r="O10" s="702">
        <f ca="1">tertiair!N16</f>
        <v>1114.1405968882332</v>
      </c>
      <c r="P10" s="702">
        <f>tertiair!O16</f>
        <v>0</v>
      </c>
      <c r="Q10" s="703">
        <f>tertiair!P16</f>
        <v>95.333333333333343</v>
      </c>
      <c r="R10" s="705">
        <f ca="1">SUM(C10:Q10)</f>
        <v>38764.824983657207</v>
      </c>
      <c r="S10" s="67"/>
    </row>
    <row r="11" spans="1:19" s="457" customFormat="1">
      <c r="A11" s="858" t="s">
        <v>226</v>
      </c>
      <c r="B11" s="863"/>
      <c r="C11" s="702">
        <f>huishoudens!B8</f>
        <v>35810.518630835199</v>
      </c>
      <c r="D11" s="702">
        <f>huishoudens!C8</f>
        <v>0</v>
      </c>
      <c r="E11" s="702">
        <f>huishoudens!D8</f>
        <v>50247.886281999999</v>
      </c>
      <c r="F11" s="702">
        <f>huishoudens!E8</f>
        <v>6718.7138197549766</v>
      </c>
      <c r="G11" s="702">
        <f>huishoudens!F8</f>
        <v>72451.411161584343</v>
      </c>
      <c r="H11" s="702">
        <f>huishoudens!G8</f>
        <v>0</v>
      </c>
      <c r="I11" s="702">
        <f>huishoudens!H8</f>
        <v>0</v>
      </c>
      <c r="J11" s="702">
        <f>huishoudens!I8</f>
        <v>0</v>
      </c>
      <c r="K11" s="702">
        <f>huishoudens!J8</f>
        <v>0</v>
      </c>
      <c r="L11" s="702">
        <f>huishoudens!K8</f>
        <v>0</v>
      </c>
      <c r="M11" s="702">
        <f>huishoudens!L8</f>
        <v>0</v>
      </c>
      <c r="N11" s="702">
        <f>huishoudens!M8</f>
        <v>0</v>
      </c>
      <c r="O11" s="702">
        <f>huishoudens!N8</f>
        <v>14883.399865014788</v>
      </c>
      <c r="P11" s="702">
        <f>huishoudens!O8</f>
        <v>78.166666666666671</v>
      </c>
      <c r="Q11" s="703">
        <f>huishoudens!P8</f>
        <v>266.93333333333334</v>
      </c>
      <c r="R11" s="705">
        <f>SUM(C11:Q11)</f>
        <v>180457.02975918929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54127.682000000001</v>
      </c>
      <c r="D13" s="702">
        <f>industrie!C18</f>
        <v>0</v>
      </c>
      <c r="E13" s="702">
        <f>industrie!D18</f>
        <v>73802.004408000008</v>
      </c>
      <c r="F13" s="702">
        <f>industrie!E18</f>
        <v>692.54469838125078</v>
      </c>
      <c r="G13" s="702">
        <f>industrie!F18</f>
        <v>17737.487645851896</v>
      </c>
      <c r="H13" s="702">
        <f>industrie!G18</f>
        <v>0</v>
      </c>
      <c r="I13" s="702">
        <f>industrie!H18</f>
        <v>0</v>
      </c>
      <c r="J13" s="702">
        <f>industrie!I18</f>
        <v>0</v>
      </c>
      <c r="K13" s="702">
        <f>industrie!J18</f>
        <v>548.10206202342874</v>
      </c>
      <c r="L13" s="702">
        <f>industrie!K18</f>
        <v>0</v>
      </c>
      <c r="M13" s="702">
        <f>industrie!L18</f>
        <v>0</v>
      </c>
      <c r="N13" s="702">
        <f>industrie!M18</f>
        <v>0</v>
      </c>
      <c r="O13" s="702">
        <f>industrie!N18</f>
        <v>1446.8355118445463</v>
      </c>
      <c r="P13" s="702">
        <f>industrie!O18</f>
        <v>0</v>
      </c>
      <c r="Q13" s="703">
        <f>industrie!P18</f>
        <v>0</v>
      </c>
      <c r="R13" s="705">
        <f>SUM(C13:Q13)</f>
        <v>148354.6563261011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107694.7996308352</v>
      </c>
      <c r="D15" s="707">
        <f t="shared" ref="D15:Q15" ca="1" si="0">SUM(D9:D14)</f>
        <v>0</v>
      </c>
      <c r="E15" s="707">
        <f t="shared" ca="1" si="0"/>
        <v>140326.82435200003</v>
      </c>
      <c r="F15" s="707">
        <f t="shared" si="0"/>
        <v>7709.7322510856129</v>
      </c>
      <c r="G15" s="707">
        <f t="shared" ca="1" si="0"/>
        <v>93412.243465922496</v>
      </c>
      <c r="H15" s="707">
        <f t="shared" si="0"/>
        <v>0</v>
      </c>
      <c r="I15" s="707">
        <f t="shared" si="0"/>
        <v>0</v>
      </c>
      <c r="J15" s="707">
        <f t="shared" si="0"/>
        <v>0</v>
      </c>
      <c r="K15" s="707">
        <f t="shared" si="0"/>
        <v>548.10206202342874</v>
      </c>
      <c r="L15" s="707">
        <f t="shared" si="0"/>
        <v>0</v>
      </c>
      <c r="M15" s="707">
        <f t="shared" ca="1" si="0"/>
        <v>0</v>
      </c>
      <c r="N15" s="707">
        <f t="shared" si="0"/>
        <v>0</v>
      </c>
      <c r="O15" s="707">
        <f t="shared" ca="1" si="0"/>
        <v>17444.375973747567</v>
      </c>
      <c r="P15" s="707">
        <f t="shared" si="0"/>
        <v>78.166666666666671</v>
      </c>
      <c r="Q15" s="708">
        <f t="shared" si="0"/>
        <v>362.26666666666665</v>
      </c>
      <c r="R15" s="709">
        <f ca="1">SUM(R9:R14)</f>
        <v>367576.51106894761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2526.3256013445566</v>
      </c>
      <c r="I18" s="702">
        <f>transport!H54</f>
        <v>0</v>
      </c>
      <c r="J18" s="702">
        <f>transport!I54</f>
        <v>0</v>
      </c>
      <c r="K18" s="702">
        <f>transport!J54</f>
        <v>0</v>
      </c>
      <c r="L18" s="702">
        <f>transport!K54</f>
        <v>0</v>
      </c>
      <c r="M18" s="702">
        <f>transport!L54</f>
        <v>0</v>
      </c>
      <c r="N18" s="702">
        <f>transport!M54</f>
        <v>107.68628482294331</v>
      </c>
      <c r="O18" s="702">
        <f>transport!N54</f>
        <v>0</v>
      </c>
      <c r="P18" s="702">
        <f>transport!O54</f>
        <v>0</v>
      </c>
      <c r="Q18" s="703">
        <f>transport!P54</f>
        <v>0</v>
      </c>
      <c r="R18" s="705">
        <f>SUM(C18:Q18)</f>
        <v>2634.0118861675001</v>
      </c>
      <c r="S18" s="67"/>
    </row>
    <row r="19" spans="1:19" s="457" customFormat="1" ht="15" thickBot="1">
      <c r="A19" s="858" t="s">
        <v>308</v>
      </c>
      <c r="B19" s="863"/>
      <c r="C19" s="711">
        <f>transport!B14</f>
        <v>1.0313758837735265</v>
      </c>
      <c r="D19" s="711">
        <f>transport!C14</f>
        <v>0</v>
      </c>
      <c r="E19" s="711">
        <f>transport!D14</f>
        <v>4.9183620975277753</v>
      </c>
      <c r="F19" s="711">
        <f>transport!E14</f>
        <v>502.07589994780801</v>
      </c>
      <c r="G19" s="711">
        <f>transport!F14</f>
        <v>0</v>
      </c>
      <c r="H19" s="711">
        <f>transport!G14</f>
        <v>89525.869705672158</v>
      </c>
      <c r="I19" s="711">
        <f>transport!H14</f>
        <v>16418.098355494982</v>
      </c>
      <c r="J19" s="711">
        <f>transport!I14</f>
        <v>0</v>
      </c>
      <c r="K19" s="711">
        <f>transport!J14</f>
        <v>0</v>
      </c>
      <c r="L19" s="711">
        <f>transport!K14</f>
        <v>0</v>
      </c>
      <c r="M19" s="711">
        <f>transport!L14</f>
        <v>0</v>
      </c>
      <c r="N19" s="711">
        <f>transport!M14</f>
        <v>4625.5176724149123</v>
      </c>
      <c r="O19" s="711">
        <f>transport!N14</f>
        <v>0</v>
      </c>
      <c r="P19" s="711">
        <f>transport!O14</f>
        <v>0</v>
      </c>
      <c r="Q19" s="712">
        <f>transport!P14</f>
        <v>0</v>
      </c>
      <c r="R19" s="713">
        <f>SUM(C19:Q19)</f>
        <v>111077.51137151115</v>
      </c>
      <c r="S19" s="67"/>
    </row>
    <row r="20" spans="1:19" s="457" customFormat="1" ht="15.75" thickBot="1">
      <c r="A20" s="714" t="s">
        <v>231</v>
      </c>
      <c r="B20" s="866"/>
      <c r="C20" s="861">
        <f>SUM(C17:C19)</f>
        <v>1.0313758837735265</v>
      </c>
      <c r="D20" s="715">
        <f t="shared" ref="D20:R20" si="1">SUM(D17:D19)</f>
        <v>0</v>
      </c>
      <c r="E20" s="715">
        <f t="shared" si="1"/>
        <v>4.9183620975277753</v>
      </c>
      <c r="F20" s="715">
        <f t="shared" si="1"/>
        <v>502.07589994780801</v>
      </c>
      <c r="G20" s="715">
        <f t="shared" si="1"/>
        <v>0</v>
      </c>
      <c r="H20" s="715">
        <f t="shared" si="1"/>
        <v>92052.195307016707</v>
      </c>
      <c r="I20" s="715">
        <f t="shared" si="1"/>
        <v>16418.098355494982</v>
      </c>
      <c r="J20" s="715">
        <f t="shared" si="1"/>
        <v>0</v>
      </c>
      <c r="K20" s="715">
        <f t="shared" si="1"/>
        <v>0</v>
      </c>
      <c r="L20" s="715">
        <f t="shared" si="1"/>
        <v>0</v>
      </c>
      <c r="M20" s="715">
        <f t="shared" si="1"/>
        <v>0</v>
      </c>
      <c r="N20" s="715">
        <f t="shared" si="1"/>
        <v>4733.2039572378553</v>
      </c>
      <c r="O20" s="715">
        <f t="shared" si="1"/>
        <v>0</v>
      </c>
      <c r="P20" s="715">
        <f t="shared" si="1"/>
        <v>0</v>
      </c>
      <c r="Q20" s="716">
        <f t="shared" si="1"/>
        <v>0</v>
      </c>
      <c r="R20" s="717">
        <f t="shared" si="1"/>
        <v>113711.52325767865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1119.604</v>
      </c>
      <c r="D22" s="711">
        <f>+landbouw!C8</f>
        <v>0</v>
      </c>
      <c r="E22" s="711">
        <f>+landbouw!D8</f>
        <v>119.09557</v>
      </c>
      <c r="F22" s="711">
        <f>+landbouw!E8</f>
        <v>11.724735472381619</v>
      </c>
      <c r="G22" s="711">
        <f>+landbouw!F8</f>
        <v>5750.4644121267929</v>
      </c>
      <c r="H22" s="711">
        <f>+landbouw!G8</f>
        <v>0</v>
      </c>
      <c r="I22" s="711">
        <f>+landbouw!H8</f>
        <v>0</v>
      </c>
      <c r="J22" s="711">
        <f>+landbouw!I8</f>
        <v>0</v>
      </c>
      <c r="K22" s="711">
        <f>+landbouw!J8</f>
        <v>99.990672381848782</v>
      </c>
      <c r="L22" s="711">
        <f>+landbouw!K8</f>
        <v>0</v>
      </c>
      <c r="M22" s="711">
        <f>+landbouw!L8</f>
        <v>0</v>
      </c>
      <c r="N22" s="711">
        <f>+landbouw!M8</f>
        <v>0</v>
      </c>
      <c r="O22" s="711">
        <f>+landbouw!N8</f>
        <v>0</v>
      </c>
      <c r="P22" s="711">
        <f>+landbouw!O8</f>
        <v>0</v>
      </c>
      <c r="Q22" s="712">
        <f>+landbouw!P8</f>
        <v>0</v>
      </c>
      <c r="R22" s="713">
        <f>SUM(C22:Q22)</f>
        <v>7100.8793899810235</v>
      </c>
      <c r="S22" s="67"/>
    </row>
    <row r="23" spans="1:19" s="457" customFormat="1" ht="17.25" thickTop="1" thickBot="1">
      <c r="A23" s="718" t="s">
        <v>116</v>
      </c>
      <c r="B23" s="852"/>
      <c r="C23" s="719">
        <f ca="1">C20+C15+C22</f>
        <v>108815.43500671898</v>
      </c>
      <c r="D23" s="719">
        <f t="shared" ref="D23:Q23" ca="1" si="2">D20+D15+D22</f>
        <v>0</v>
      </c>
      <c r="E23" s="719">
        <f t="shared" ca="1" si="2"/>
        <v>140450.83828409755</v>
      </c>
      <c r="F23" s="719">
        <f t="shared" si="2"/>
        <v>8223.5328865058036</v>
      </c>
      <c r="G23" s="719">
        <f t="shared" ca="1" si="2"/>
        <v>99162.707878049288</v>
      </c>
      <c r="H23" s="719">
        <f t="shared" si="2"/>
        <v>92052.195307016707</v>
      </c>
      <c r="I23" s="719">
        <f t="shared" si="2"/>
        <v>16418.098355494982</v>
      </c>
      <c r="J23" s="719">
        <f t="shared" si="2"/>
        <v>0</v>
      </c>
      <c r="K23" s="719">
        <f t="shared" si="2"/>
        <v>648.0927344052775</v>
      </c>
      <c r="L23" s="719">
        <f t="shared" si="2"/>
        <v>0</v>
      </c>
      <c r="M23" s="719">
        <f t="shared" ca="1" si="2"/>
        <v>0</v>
      </c>
      <c r="N23" s="719">
        <f t="shared" si="2"/>
        <v>4733.2039572378553</v>
      </c>
      <c r="O23" s="719">
        <f t="shared" ca="1" si="2"/>
        <v>17444.375973747567</v>
      </c>
      <c r="P23" s="719">
        <f t="shared" si="2"/>
        <v>78.166666666666671</v>
      </c>
      <c r="Q23" s="720">
        <f t="shared" si="2"/>
        <v>362.26666666666665</v>
      </c>
      <c r="R23" s="721">
        <f ca="1">R20+R15+R22</f>
        <v>488388.91371660732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3609.9210074904445</v>
      </c>
      <c r="D36" s="702">
        <f ca="1">tertiair!C20</f>
        <v>0</v>
      </c>
      <c r="E36" s="702">
        <f ca="1">tertiair!D20</f>
        <v>3287.9405997240005</v>
      </c>
      <c r="F36" s="702">
        <f>tertiair!E20</f>
        <v>67.753537379510576</v>
      </c>
      <c r="G36" s="702">
        <f ca="1">tertiair!F20</f>
        <v>860.63302381582878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7826.2481684097847</v>
      </c>
    </row>
    <row r="37" spans="1:18">
      <c r="A37" s="873" t="s">
        <v>226</v>
      </c>
      <c r="B37" s="880"/>
      <c r="C37" s="702">
        <f ca="1">huishoudens!B12</f>
        <v>7280.2873734198729</v>
      </c>
      <c r="D37" s="702">
        <f ca="1">huishoudens!C12</f>
        <v>0</v>
      </c>
      <c r="E37" s="702">
        <f>huishoudens!D12</f>
        <v>10150.073028964001</v>
      </c>
      <c r="F37" s="702">
        <f>huishoudens!E12</f>
        <v>1525.1480370843797</v>
      </c>
      <c r="G37" s="702">
        <f>huishoudens!F12</f>
        <v>19344.52678014302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38300.035219611273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11004.171257038715</v>
      </c>
      <c r="D39" s="702">
        <f ca="1">industrie!C22</f>
        <v>0</v>
      </c>
      <c r="E39" s="702">
        <f>industrie!D22</f>
        <v>14908.004890416003</v>
      </c>
      <c r="F39" s="702">
        <f>industrie!E22</f>
        <v>157.20764653254392</v>
      </c>
      <c r="G39" s="702">
        <f>industrie!F22</f>
        <v>4735.9092014424568</v>
      </c>
      <c r="H39" s="702">
        <f>industrie!G22</f>
        <v>0</v>
      </c>
      <c r="I39" s="702">
        <f>industrie!H22</f>
        <v>0</v>
      </c>
      <c r="J39" s="702">
        <f>industrie!I22</f>
        <v>0</v>
      </c>
      <c r="K39" s="702">
        <f>industrie!J22</f>
        <v>194.02812995629375</v>
      </c>
      <c r="L39" s="702">
        <f>industrie!K22</f>
        <v>0</v>
      </c>
      <c r="M39" s="702">
        <f>industrie!L22</f>
        <v>0</v>
      </c>
      <c r="N39" s="702">
        <f>industrie!M22</f>
        <v>0</v>
      </c>
      <c r="O39" s="702">
        <f>industrie!N22</f>
        <v>0</v>
      </c>
      <c r="P39" s="702">
        <f>industrie!O22</f>
        <v>0</v>
      </c>
      <c r="Q39" s="812">
        <f>industrie!P22</f>
        <v>0</v>
      </c>
      <c r="R39" s="906">
        <f ca="1">SUM(C39:Q39)</f>
        <v>30999.32112538601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21894.37963794903</v>
      </c>
      <c r="D41" s="747">
        <f t="shared" ref="D41:R41" ca="1" si="4">SUM(D35:D40)</f>
        <v>0</v>
      </c>
      <c r="E41" s="747">
        <f t="shared" ca="1" si="4"/>
        <v>28346.018519104007</v>
      </c>
      <c r="F41" s="747">
        <f t="shared" si="4"/>
        <v>1750.1092209964343</v>
      </c>
      <c r="G41" s="747">
        <f t="shared" ca="1" si="4"/>
        <v>24941.069005401307</v>
      </c>
      <c r="H41" s="747">
        <f t="shared" si="4"/>
        <v>0</v>
      </c>
      <c r="I41" s="747">
        <f t="shared" si="4"/>
        <v>0</v>
      </c>
      <c r="J41" s="747">
        <f t="shared" si="4"/>
        <v>0</v>
      </c>
      <c r="K41" s="747">
        <f t="shared" si="4"/>
        <v>194.02812995629375</v>
      </c>
      <c r="L41" s="747">
        <f t="shared" si="4"/>
        <v>0</v>
      </c>
      <c r="M41" s="747">
        <f t="shared" ca="1" si="4"/>
        <v>0</v>
      </c>
      <c r="N41" s="747">
        <f t="shared" si="4"/>
        <v>0</v>
      </c>
      <c r="O41" s="747">
        <f t="shared" ca="1" si="4"/>
        <v>0</v>
      </c>
      <c r="P41" s="747">
        <f t="shared" si="4"/>
        <v>0</v>
      </c>
      <c r="Q41" s="748">
        <f t="shared" si="4"/>
        <v>0</v>
      </c>
      <c r="R41" s="749">
        <f t="shared" ca="1" si="4"/>
        <v>77125.604513407074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674.52893555899664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674.52893555899664</v>
      </c>
    </row>
    <row r="45" spans="1:18" ht="15" thickBot="1">
      <c r="A45" s="876" t="s">
        <v>308</v>
      </c>
      <c r="B45" s="886"/>
      <c r="C45" s="711">
        <f ca="1">transport!B18</f>
        <v>0.20967897452958623</v>
      </c>
      <c r="D45" s="711">
        <f>transport!C18</f>
        <v>0</v>
      </c>
      <c r="E45" s="711">
        <f>transport!D18</f>
        <v>0.99350914370061072</v>
      </c>
      <c r="F45" s="711">
        <f>transport!E18</f>
        <v>113.97122928815243</v>
      </c>
      <c r="G45" s="711">
        <f>transport!F18</f>
        <v>0</v>
      </c>
      <c r="H45" s="711">
        <f>transport!G18</f>
        <v>23903.407211414469</v>
      </c>
      <c r="I45" s="711">
        <f>transport!H18</f>
        <v>4088.1064905182502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28106.688119339102</v>
      </c>
    </row>
    <row r="46" spans="1:18" ht="15.75" thickBot="1">
      <c r="A46" s="874" t="s">
        <v>231</v>
      </c>
      <c r="B46" s="887"/>
      <c r="C46" s="747">
        <f t="shared" ref="C46:R46" ca="1" si="5">SUM(C43:C45)</f>
        <v>0.20967897452958623</v>
      </c>
      <c r="D46" s="747">
        <f t="shared" ca="1" si="5"/>
        <v>0</v>
      </c>
      <c r="E46" s="747">
        <f t="shared" si="5"/>
        <v>0.99350914370061072</v>
      </c>
      <c r="F46" s="747">
        <f t="shared" si="5"/>
        <v>113.97122928815243</v>
      </c>
      <c r="G46" s="747">
        <f t="shared" si="5"/>
        <v>0</v>
      </c>
      <c r="H46" s="747">
        <f t="shared" si="5"/>
        <v>24577.936146973465</v>
      </c>
      <c r="I46" s="747">
        <f t="shared" si="5"/>
        <v>4088.1064905182502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28781.217054898098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227.61577257392204</v>
      </c>
      <c r="D48" s="702">
        <f ca="1">+landbouw!C12</f>
        <v>0</v>
      </c>
      <c r="E48" s="702">
        <f>+landbouw!D12</f>
        <v>24.05730514</v>
      </c>
      <c r="F48" s="702">
        <f>+landbouw!E12</f>
        <v>2.6615149522306276</v>
      </c>
      <c r="G48" s="702">
        <f>+landbouw!F12</f>
        <v>1535.3739980378539</v>
      </c>
      <c r="H48" s="702">
        <f>+landbouw!G12</f>
        <v>0</v>
      </c>
      <c r="I48" s="702">
        <f>+landbouw!H12</f>
        <v>0</v>
      </c>
      <c r="J48" s="702">
        <f>+landbouw!I12</f>
        <v>0</v>
      </c>
      <c r="K48" s="702">
        <f>+landbouw!J12</f>
        <v>35.396698023174466</v>
      </c>
      <c r="L48" s="702">
        <f>+landbouw!K12</f>
        <v>0</v>
      </c>
      <c r="M48" s="702">
        <f>+landbouw!L12</f>
        <v>0</v>
      </c>
      <c r="N48" s="702">
        <f>+landbouw!M12</f>
        <v>0</v>
      </c>
      <c r="O48" s="702">
        <f>+landbouw!N12</f>
        <v>0</v>
      </c>
      <c r="P48" s="702">
        <f>+landbouw!O12</f>
        <v>0</v>
      </c>
      <c r="Q48" s="703">
        <f>+landbouw!P12</f>
        <v>0</v>
      </c>
      <c r="R48" s="745">
        <f ca="1">SUM(C48:Q48)</f>
        <v>1825.105288727181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22122.205089497482</v>
      </c>
      <c r="D53" s="757">
        <f t="shared" ref="D53:Q53" ca="1" si="6">D41+D46+D48</f>
        <v>0</v>
      </c>
      <c r="E53" s="757">
        <f t="shared" ca="1" si="6"/>
        <v>28371.069333387706</v>
      </c>
      <c r="F53" s="757">
        <f t="shared" si="6"/>
        <v>1866.7419652368174</v>
      </c>
      <c r="G53" s="757">
        <f t="shared" ca="1" si="6"/>
        <v>26476.443003439159</v>
      </c>
      <c r="H53" s="757">
        <f t="shared" si="6"/>
        <v>24577.936146973465</v>
      </c>
      <c r="I53" s="757">
        <f t="shared" si="6"/>
        <v>4088.1064905182502</v>
      </c>
      <c r="J53" s="757">
        <f t="shared" si="6"/>
        <v>0</v>
      </c>
      <c r="K53" s="757">
        <f t="shared" si="6"/>
        <v>229.4248279794682</v>
      </c>
      <c r="L53" s="757">
        <f t="shared" si="6"/>
        <v>0</v>
      </c>
      <c r="M53" s="757">
        <f t="shared" ca="1" si="6"/>
        <v>0</v>
      </c>
      <c r="N53" s="757">
        <f t="shared" si="6"/>
        <v>0</v>
      </c>
      <c r="O53" s="757">
        <f t="shared" ca="1" si="6"/>
        <v>0</v>
      </c>
      <c r="P53" s="757">
        <f>P41+P46+P48</f>
        <v>0</v>
      </c>
      <c r="Q53" s="758">
        <f t="shared" si="6"/>
        <v>0</v>
      </c>
      <c r="R53" s="759">
        <f ca="1">R41+R46+R48</f>
        <v>107731.92685703235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0.20330024952922821</v>
      </c>
      <c r="D55" s="823">
        <f t="shared" ca="1" si="7"/>
        <v>0</v>
      </c>
      <c r="E55" s="823">
        <f t="shared" ca="1" si="7"/>
        <v>0.20200000000000001</v>
      </c>
      <c r="F55" s="823">
        <f t="shared" si="7"/>
        <v>0.22699999999999998</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8714.9594886308187</v>
      </c>
      <c r="C66" s="779">
        <f>'lokale energieproductie'!B6</f>
        <v>8714.9594886308187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8714.9594886308187</v>
      </c>
      <c r="C69" s="787">
        <f>SUM(C64:C68)</f>
        <v>8714.9594886308187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35810.518630835199</v>
      </c>
      <c r="C4" s="461">
        <f>huishoudens!C8</f>
        <v>0</v>
      </c>
      <c r="D4" s="461">
        <f>huishoudens!D8</f>
        <v>50247.886281999999</v>
      </c>
      <c r="E4" s="461">
        <f>huishoudens!E8</f>
        <v>6718.7138197549766</v>
      </c>
      <c r="F4" s="461">
        <f>huishoudens!F8</f>
        <v>72451.411161584343</v>
      </c>
      <c r="G4" s="461">
        <f>huishoudens!G8</f>
        <v>0</v>
      </c>
      <c r="H4" s="461">
        <f>huishoudens!H8</f>
        <v>0</v>
      </c>
      <c r="I4" s="461">
        <f>huishoudens!I8</f>
        <v>0</v>
      </c>
      <c r="J4" s="461">
        <f>huishoudens!J8</f>
        <v>0</v>
      </c>
      <c r="K4" s="461">
        <f>huishoudens!K8</f>
        <v>0</v>
      </c>
      <c r="L4" s="461">
        <f>huishoudens!L8</f>
        <v>0</v>
      </c>
      <c r="M4" s="461">
        <f>huishoudens!M8</f>
        <v>0</v>
      </c>
      <c r="N4" s="461">
        <f>huishoudens!N8</f>
        <v>14883.399865014788</v>
      </c>
      <c r="O4" s="461">
        <f>huishoudens!O8</f>
        <v>78.166666666666671</v>
      </c>
      <c r="P4" s="462">
        <f>huishoudens!P8</f>
        <v>266.93333333333334</v>
      </c>
      <c r="Q4" s="463">
        <f>SUM(B4:P4)</f>
        <v>180457.02975918929</v>
      </c>
    </row>
    <row r="5" spans="1:17">
      <c r="A5" s="460" t="s">
        <v>156</v>
      </c>
      <c r="B5" s="461">
        <f ca="1">tertiair!B16</f>
        <v>16687.787</v>
      </c>
      <c r="C5" s="461">
        <f ca="1">tertiair!C16</f>
        <v>0</v>
      </c>
      <c r="D5" s="461">
        <f ca="1">tertiair!D16</f>
        <v>16276.933662000001</v>
      </c>
      <c r="E5" s="461">
        <f>tertiair!E16</f>
        <v>298.47373294938581</v>
      </c>
      <c r="F5" s="461">
        <f ca="1">tertiair!F16</f>
        <v>3223.34465848625</v>
      </c>
      <c r="G5" s="461">
        <f>tertiair!G16</f>
        <v>0</v>
      </c>
      <c r="H5" s="461">
        <f>tertiair!H16</f>
        <v>0</v>
      </c>
      <c r="I5" s="461">
        <f>tertiair!I16</f>
        <v>0</v>
      </c>
      <c r="J5" s="461">
        <f>tertiair!J16</f>
        <v>0</v>
      </c>
      <c r="K5" s="461">
        <f>tertiair!K16</f>
        <v>0</v>
      </c>
      <c r="L5" s="461">
        <f ca="1">tertiair!L16</f>
        <v>0</v>
      </c>
      <c r="M5" s="461">
        <f>tertiair!M16</f>
        <v>0</v>
      </c>
      <c r="N5" s="461">
        <f ca="1">tertiair!N16</f>
        <v>1114.1405968882332</v>
      </c>
      <c r="O5" s="461">
        <f>tertiair!O16</f>
        <v>0</v>
      </c>
      <c r="P5" s="462">
        <f>tertiair!P16</f>
        <v>95.333333333333343</v>
      </c>
      <c r="Q5" s="460">
        <f t="shared" ref="Q5:Q13" ca="1" si="0">SUM(B5:P5)</f>
        <v>37696.012983657201</v>
      </c>
    </row>
    <row r="6" spans="1:17">
      <c r="A6" s="460" t="s">
        <v>195</v>
      </c>
      <c r="B6" s="461">
        <f>'openbare verlichting'!B8</f>
        <v>1068.8119999999999</v>
      </c>
      <c r="C6" s="461"/>
      <c r="D6" s="461"/>
      <c r="E6" s="461"/>
      <c r="F6" s="461"/>
      <c r="G6" s="461"/>
      <c r="H6" s="461"/>
      <c r="I6" s="461"/>
      <c r="J6" s="461"/>
      <c r="K6" s="461"/>
      <c r="L6" s="461"/>
      <c r="M6" s="461"/>
      <c r="N6" s="461"/>
      <c r="O6" s="461"/>
      <c r="P6" s="462"/>
      <c r="Q6" s="460">
        <f t="shared" si="0"/>
        <v>1068.8119999999999</v>
      </c>
    </row>
    <row r="7" spans="1:17">
      <c r="A7" s="460" t="s">
        <v>112</v>
      </c>
      <c r="B7" s="461">
        <f>landbouw!B8</f>
        <v>1119.604</v>
      </c>
      <c r="C7" s="461">
        <f>landbouw!C8</f>
        <v>0</v>
      </c>
      <c r="D7" s="461">
        <f>landbouw!D8</f>
        <v>119.09557</v>
      </c>
      <c r="E7" s="461">
        <f>landbouw!E8</f>
        <v>11.724735472381619</v>
      </c>
      <c r="F7" s="461">
        <f>landbouw!F8</f>
        <v>5750.4644121267929</v>
      </c>
      <c r="G7" s="461">
        <f>landbouw!G8</f>
        <v>0</v>
      </c>
      <c r="H7" s="461">
        <f>landbouw!H8</f>
        <v>0</v>
      </c>
      <c r="I7" s="461">
        <f>landbouw!I8</f>
        <v>0</v>
      </c>
      <c r="J7" s="461">
        <f>landbouw!J8</f>
        <v>99.990672381848782</v>
      </c>
      <c r="K7" s="461">
        <f>landbouw!K8</f>
        <v>0</v>
      </c>
      <c r="L7" s="461">
        <f>landbouw!L8</f>
        <v>0</v>
      </c>
      <c r="M7" s="461">
        <f>landbouw!M8</f>
        <v>0</v>
      </c>
      <c r="N7" s="461">
        <f>landbouw!N8</f>
        <v>0</v>
      </c>
      <c r="O7" s="461">
        <f>landbouw!O8</f>
        <v>0</v>
      </c>
      <c r="P7" s="462">
        <f>landbouw!P8</f>
        <v>0</v>
      </c>
      <c r="Q7" s="460">
        <f t="shared" si="0"/>
        <v>7100.8793899810235</v>
      </c>
    </row>
    <row r="8" spans="1:17">
      <c r="A8" s="460" t="s">
        <v>656</v>
      </c>
      <c r="B8" s="461">
        <f>industrie!B18</f>
        <v>54127.682000000001</v>
      </c>
      <c r="C8" s="461">
        <f>industrie!C18</f>
        <v>0</v>
      </c>
      <c r="D8" s="461">
        <f>industrie!D18</f>
        <v>73802.004408000008</v>
      </c>
      <c r="E8" s="461">
        <f>industrie!E18</f>
        <v>692.54469838125078</v>
      </c>
      <c r="F8" s="461">
        <f>industrie!F18</f>
        <v>17737.487645851896</v>
      </c>
      <c r="G8" s="461">
        <f>industrie!G18</f>
        <v>0</v>
      </c>
      <c r="H8" s="461">
        <f>industrie!H18</f>
        <v>0</v>
      </c>
      <c r="I8" s="461">
        <f>industrie!I18</f>
        <v>0</v>
      </c>
      <c r="J8" s="461">
        <f>industrie!J18</f>
        <v>548.10206202342874</v>
      </c>
      <c r="K8" s="461">
        <f>industrie!K18</f>
        <v>0</v>
      </c>
      <c r="L8" s="461">
        <f>industrie!L18</f>
        <v>0</v>
      </c>
      <c r="M8" s="461">
        <f>industrie!M18</f>
        <v>0</v>
      </c>
      <c r="N8" s="461">
        <f>industrie!N18</f>
        <v>1446.8355118445463</v>
      </c>
      <c r="O8" s="461">
        <f>industrie!O18</f>
        <v>0</v>
      </c>
      <c r="P8" s="462">
        <f>industrie!P18</f>
        <v>0</v>
      </c>
      <c r="Q8" s="460">
        <f t="shared" si="0"/>
        <v>148354.6563261011</v>
      </c>
    </row>
    <row r="9" spans="1:17" s="466" customFormat="1">
      <c r="A9" s="464" t="s">
        <v>574</v>
      </c>
      <c r="B9" s="465">
        <f>transport!B14</f>
        <v>1.0313758837735265</v>
      </c>
      <c r="C9" s="465">
        <f>transport!C14</f>
        <v>0</v>
      </c>
      <c r="D9" s="465">
        <f>transport!D14</f>
        <v>4.9183620975277753</v>
      </c>
      <c r="E9" s="465">
        <f>transport!E14</f>
        <v>502.07589994780801</v>
      </c>
      <c r="F9" s="465">
        <f>transport!F14</f>
        <v>0</v>
      </c>
      <c r="G9" s="465">
        <f>transport!G14</f>
        <v>89525.869705672158</v>
      </c>
      <c r="H9" s="465">
        <f>transport!H14</f>
        <v>16418.098355494982</v>
      </c>
      <c r="I9" s="465">
        <f>transport!I14</f>
        <v>0</v>
      </c>
      <c r="J9" s="465">
        <f>transport!J14</f>
        <v>0</v>
      </c>
      <c r="K9" s="465">
        <f>transport!K14</f>
        <v>0</v>
      </c>
      <c r="L9" s="465">
        <f>transport!L14</f>
        <v>0</v>
      </c>
      <c r="M9" s="465">
        <f>transport!M14</f>
        <v>4625.5176724149123</v>
      </c>
      <c r="N9" s="465">
        <f>transport!N14</f>
        <v>0</v>
      </c>
      <c r="O9" s="465">
        <f>transport!O14</f>
        <v>0</v>
      </c>
      <c r="P9" s="465">
        <f>transport!P14</f>
        <v>0</v>
      </c>
      <c r="Q9" s="464">
        <f>SUM(B9:P9)</f>
        <v>111077.51137151115</v>
      </c>
    </row>
    <row r="10" spans="1:17">
      <c r="A10" s="460" t="s">
        <v>564</v>
      </c>
      <c r="B10" s="461">
        <f>transport!B54</f>
        <v>0</v>
      </c>
      <c r="C10" s="461">
        <f>transport!C54</f>
        <v>0</v>
      </c>
      <c r="D10" s="461">
        <f>transport!D54</f>
        <v>0</v>
      </c>
      <c r="E10" s="461">
        <f>transport!E54</f>
        <v>0</v>
      </c>
      <c r="F10" s="461">
        <f>transport!F54</f>
        <v>0</v>
      </c>
      <c r="G10" s="461">
        <f>transport!G54</f>
        <v>2526.3256013445566</v>
      </c>
      <c r="H10" s="461">
        <f>transport!H54</f>
        <v>0</v>
      </c>
      <c r="I10" s="461">
        <f>transport!I54</f>
        <v>0</v>
      </c>
      <c r="J10" s="461">
        <f>transport!J54</f>
        <v>0</v>
      </c>
      <c r="K10" s="461">
        <f>transport!K54</f>
        <v>0</v>
      </c>
      <c r="L10" s="461">
        <f>transport!L54</f>
        <v>0</v>
      </c>
      <c r="M10" s="461">
        <f>transport!M54</f>
        <v>107.68628482294331</v>
      </c>
      <c r="N10" s="461">
        <f>transport!N54</f>
        <v>0</v>
      </c>
      <c r="O10" s="461">
        <f>transport!O54</f>
        <v>0</v>
      </c>
      <c r="P10" s="462">
        <f>transport!P54</f>
        <v>0</v>
      </c>
      <c r="Q10" s="460">
        <f t="shared" si="0"/>
        <v>2634.0118861675001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108815.43500671897</v>
      </c>
      <c r="C14" s="471">
        <f t="shared" ref="C14:Q14" ca="1" si="1">SUM(C4:C13)</f>
        <v>0</v>
      </c>
      <c r="D14" s="471">
        <f t="shared" ca="1" si="1"/>
        <v>140450.83828409755</v>
      </c>
      <c r="E14" s="471">
        <f t="shared" si="1"/>
        <v>8223.5328865058018</v>
      </c>
      <c r="F14" s="471">
        <f t="shared" ca="1" si="1"/>
        <v>99162.707878049288</v>
      </c>
      <c r="G14" s="471">
        <f t="shared" si="1"/>
        <v>92052.195307016707</v>
      </c>
      <c r="H14" s="471">
        <f t="shared" si="1"/>
        <v>16418.098355494982</v>
      </c>
      <c r="I14" s="471">
        <f t="shared" si="1"/>
        <v>0</v>
      </c>
      <c r="J14" s="471">
        <f t="shared" si="1"/>
        <v>648.0927344052775</v>
      </c>
      <c r="K14" s="471">
        <f t="shared" si="1"/>
        <v>0</v>
      </c>
      <c r="L14" s="471">
        <f t="shared" ca="1" si="1"/>
        <v>0</v>
      </c>
      <c r="M14" s="471">
        <f t="shared" si="1"/>
        <v>4733.2039572378553</v>
      </c>
      <c r="N14" s="471">
        <f t="shared" ca="1" si="1"/>
        <v>17444.375973747567</v>
      </c>
      <c r="O14" s="471">
        <f t="shared" si="1"/>
        <v>78.166666666666671</v>
      </c>
      <c r="P14" s="472">
        <f t="shared" si="1"/>
        <v>362.26666666666665</v>
      </c>
      <c r="Q14" s="472">
        <f t="shared" ca="1" si="1"/>
        <v>488388.91371660726</v>
      </c>
    </row>
    <row r="16" spans="1:17">
      <c r="A16" s="474" t="s">
        <v>569</v>
      </c>
      <c r="B16" s="828">
        <f ca="1">huishoudens!B10</f>
        <v>0.20330024952922823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7280.2873734198729</v>
      </c>
      <c r="C21" s="461">
        <f t="shared" ref="C21:C30" ca="1" si="3">C4*$C$16</f>
        <v>0</v>
      </c>
      <c r="D21" s="461">
        <f t="shared" ref="D21:D30" si="4">D4*$D$16</f>
        <v>10150.073028964001</v>
      </c>
      <c r="E21" s="461">
        <f t="shared" ref="E21:E30" si="5">E4*$E$16</f>
        <v>1525.1480370843797</v>
      </c>
      <c r="F21" s="461">
        <f t="shared" ref="F21:F30" si="6">F4*$F$16</f>
        <v>19344.52678014302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38300.035219611273</v>
      </c>
    </row>
    <row r="22" spans="1:17">
      <c r="A22" s="460" t="s">
        <v>156</v>
      </c>
      <c r="B22" s="461">
        <f t="shared" ca="1" si="2"/>
        <v>3392.631261190611</v>
      </c>
      <c r="C22" s="461">
        <f t="shared" ca="1" si="3"/>
        <v>0</v>
      </c>
      <c r="D22" s="461">
        <f t="shared" ca="1" si="4"/>
        <v>3287.9405997240005</v>
      </c>
      <c r="E22" s="461">
        <f t="shared" si="5"/>
        <v>67.753537379510576</v>
      </c>
      <c r="F22" s="461">
        <f t="shared" ca="1" si="6"/>
        <v>860.63302381582878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7608.9584221099512</v>
      </c>
    </row>
    <row r="23" spans="1:17">
      <c r="A23" s="460" t="s">
        <v>195</v>
      </c>
      <c r="B23" s="461">
        <f t="shared" ca="1" si="2"/>
        <v>217.28974629983347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217.28974629983347</v>
      </c>
    </row>
    <row r="24" spans="1:17">
      <c r="A24" s="460" t="s">
        <v>112</v>
      </c>
      <c r="B24" s="461">
        <f t="shared" ca="1" si="2"/>
        <v>227.61577257392204</v>
      </c>
      <c r="C24" s="461">
        <f t="shared" ca="1" si="3"/>
        <v>0</v>
      </c>
      <c r="D24" s="461">
        <f t="shared" si="4"/>
        <v>24.05730514</v>
      </c>
      <c r="E24" s="461">
        <f t="shared" si="5"/>
        <v>2.6615149522306276</v>
      </c>
      <c r="F24" s="461">
        <f t="shared" si="6"/>
        <v>1535.3739980378539</v>
      </c>
      <c r="G24" s="461">
        <f t="shared" si="7"/>
        <v>0</v>
      </c>
      <c r="H24" s="461">
        <f t="shared" si="8"/>
        <v>0</v>
      </c>
      <c r="I24" s="461">
        <f t="shared" si="9"/>
        <v>0</v>
      </c>
      <c r="J24" s="461">
        <f t="shared" si="10"/>
        <v>35.396698023174466</v>
      </c>
      <c r="K24" s="461">
        <f t="shared" si="11"/>
        <v>0</v>
      </c>
      <c r="L24" s="461">
        <f t="shared" si="12"/>
        <v>0</v>
      </c>
      <c r="M24" s="461">
        <f t="shared" si="13"/>
        <v>0</v>
      </c>
      <c r="N24" s="461">
        <f t="shared" si="14"/>
        <v>0</v>
      </c>
      <c r="O24" s="461">
        <f t="shared" si="15"/>
        <v>0</v>
      </c>
      <c r="P24" s="462">
        <f t="shared" si="16"/>
        <v>0</v>
      </c>
      <c r="Q24" s="460">
        <f t="shared" ca="1" si="17"/>
        <v>1825.105288727181</v>
      </c>
    </row>
    <row r="25" spans="1:17">
      <c r="A25" s="460" t="s">
        <v>656</v>
      </c>
      <c r="B25" s="461">
        <f t="shared" ca="1" si="2"/>
        <v>11004.171257038715</v>
      </c>
      <c r="C25" s="461">
        <f t="shared" ca="1" si="3"/>
        <v>0</v>
      </c>
      <c r="D25" s="461">
        <f t="shared" si="4"/>
        <v>14908.004890416003</v>
      </c>
      <c r="E25" s="461">
        <f t="shared" si="5"/>
        <v>157.20764653254392</v>
      </c>
      <c r="F25" s="461">
        <f t="shared" si="6"/>
        <v>4735.9092014424568</v>
      </c>
      <c r="G25" s="461">
        <f t="shared" si="7"/>
        <v>0</v>
      </c>
      <c r="H25" s="461">
        <f t="shared" si="8"/>
        <v>0</v>
      </c>
      <c r="I25" s="461">
        <f t="shared" si="9"/>
        <v>0</v>
      </c>
      <c r="J25" s="461">
        <f t="shared" si="10"/>
        <v>194.02812995629375</v>
      </c>
      <c r="K25" s="461">
        <f t="shared" si="11"/>
        <v>0</v>
      </c>
      <c r="L25" s="461">
        <f t="shared" si="12"/>
        <v>0</v>
      </c>
      <c r="M25" s="461">
        <f t="shared" si="13"/>
        <v>0</v>
      </c>
      <c r="N25" s="461">
        <f t="shared" si="14"/>
        <v>0</v>
      </c>
      <c r="O25" s="461">
        <f t="shared" si="15"/>
        <v>0</v>
      </c>
      <c r="P25" s="462">
        <f t="shared" si="16"/>
        <v>0</v>
      </c>
      <c r="Q25" s="460">
        <f t="shared" ca="1" si="17"/>
        <v>30999.32112538601</v>
      </c>
    </row>
    <row r="26" spans="1:17" s="466" customFormat="1">
      <c r="A26" s="464" t="s">
        <v>574</v>
      </c>
      <c r="B26" s="822">
        <f t="shared" ca="1" si="2"/>
        <v>0.20967897452958623</v>
      </c>
      <c r="C26" s="465">
        <f t="shared" ca="1" si="3"/>
        <v>0</v>
      </c>
      <c r="D26" s="465">
        <f t="shared" si="4"/>
        <v>0.99350914370061072</v>
      </c>
      <c r="E26" s="465">
        <f t="shared" si="5"/>
        <v>113.97122928815243</v>
      </c>
      <c r="F26" s="465">
        <f t="shared" si="6"/>
        <v>0</v>
      </c>
      <c r="G26" s="465">
        <f t="shared" si="7"/>
        <v>23903.407211414469</v>
      </c>
      <c r="H26" s="465">
        <f t="shared" si="8"/>
        <v>4088.1064905182502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28106.688119339102</v>
      </c>
    </row>
    <row r="27" spans="1:17">
      <c r="A27" s="460" t="s">
        <v>564</v>
      </c>
      <c r="B27" s="461">
        <f t="shared" ca="1" si="2"/>
        <v>0</v>
      </c>
      <c r="C27" s="461">
        <f t="shared" ca="1" si="3"/>
        <v>0</v>
      </c>
      <c r="D27" s="461">
        <f t="shared" si="4"/>
        <v>0</v>
      </c>
      <c r="E27" s="461">
        <f t="shared" si="5"/>
        <v>0</v>
      </c>
      <c r="F27" s="461">
        <f t="shared" si="6"/>
        <v>0</v>
      </c>
      <c r="G27" s="461">
        <f t="shared" si="7"/>
        <v>674.52893555899664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674.52893555899664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22122.205089497485</v>
      </c>
      <c r="C31" s="471">
        <f t="shared" ca="1" si="18"/>
        <v>0</v>
      </c>
      <c r="D31" s="471">
        <f t="shared" ca="1" si="18"/>
        <v>28371.069333387706</v>
      </c>
      <c r="E31" s="471">
        <f t="shared" si="18"/>
        <v>1866.7419652368174</v>
      </c>
      <c r="F31" s="471">
        <f t="shared" ca="1" si="18"/>
        <v>26476.443003439159</v>
      </c>
      <c r="G31" s="471">
        <f t="shared" si="18"/>
        <v>24577.936146973465</v>
      </c>
      <c r="H31" s="471">
        <f t="shared" si="18"/>
        <v>4088.1064905182502</v>
      </c>
      <c r="I31" s="471">
        <f t="shared" si="18"/>
        <v>0</v>
      </c>
      <c r="J31" s="471">
        <f t="shared" si="18"/>
        <v>229.4248279794682</v>
      </c>
      <c r="K31" s="471">
        <f t="shared" si="18"/>
        <v>0</v>
      </c>
      <c r="L31" s="471">
        <f t="shared" ca="1" si="18"/>
        <v>0</v>
      </c>
      <c r="M31" s="471">
        <f t="shared" si="18"/>
        <v>0</v>
      </c>
      <c r="N31" s="471">
        <f t="shared" ca="1" si="18"/>
        <v>0</v>
      </c>
      <c r="O31" s="471">
        <f t="shared" si="18"/>
        <v>0</v>
      </c>
      <c r="P31" s="472">
        <f t="shared" si="18"/>
        <v>0</v>
      </c>
      <c r="Q31" s="472">
        <f t="shared" ca="1" si="18"/>
        <v>107731.92685703233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0.20330024952922823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0.20330024952922823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0.20330024952922823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2018-06-27T09:03:25Z</dcterms:modified>
</cp:coreProperties>
</file>