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C17"/>
  <c r="B17"/>
  <c r="K11"/>
  <c r="J11"/>
  <c r="I11"/>
  <c r="H11"/>
  <c r="G11"/>
  <c r="F11"/>
  <c r="E11"/>
  <c r="D11"/>
  <c r="C11"/>
  <c r="L8"/>
  <c r="L9" s="1"/>
  <c r="K8"/>
  <c r="K9" s="1"/>
  <c r="I8"/>
  <c r="J68" i="14" s="1"/>
  <c r="G8" i="1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18" i="16" l="1"/>
  <c r="C8" i="48" s="1"/>
  <c r="N16" i="16"/>
  <c r="O80" i="14"/>
  <c r="L68"/>
  <c r="L69" s="1"/>
  <c r="H68"/>
  <c r="D8" i="17"/>
  <c r="E22" i="14" s="1"/>
  <c r="C97" i="18"/>
  <c r="I100" s="1"/>
  <c r="H7" s="1"/>
  <c r="I67" i="14" s="1"/>
  <c r="F16" i="16"/>
  <c r="D13" i="15"/>
  <c r="B16" i="18"/>
  <c r="B78" i="14"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E9" i="14"/>
  <c r="J9"/>
  <c r="J15" s="1"/>
  <c r="N9"/>
  <c r="N15" s="1"/>
  <c r="I11" i="48"/>
  <c r="M1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J9" i="16"/>
  <c r="B7" i="48"/>
  <c r="C22" i="14"/>
  <c r="C65"/>
  <c r="B65"/>
  <c r="F6" i="15"/>
  <c r="F8"/>
  <c r="N10" i="16"/>
  <c r="E14"/>
  <c r="I41" i="14"/>
  <c r="H15"/>
  <c r="L15"/>
  <c r="M46"/>
  <c r="H69"/>
  <c r="P20"/>
  <c r="K20"/>
  <c r="L20"/>
  <c r="G20"/>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8" s="1"/>
  <c r="H21"/>
  <c r="K24"/>
  <c r="K25"/>
  <c r="Q11" i="14"/>
  <c r="P12" i="13"/>
  <c r="Q37" i="14" s="1"/>
  <c r="P4" i="48"/>
  <c r="P21" s="1"/>
  <c r="D12" i="13"/>
  <c r="E37" i="14" s="1"/>
  <c r="D4" i="48"/>
  <c r="D21" s="1"/>
  <c r="E11" i="14"/>
  <c r="F23" i="48"/>
  <c r="J23"/>
  <c r="N23"/>
  <c r="N26"/>
  <c r="D28"/>
  <c r="H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D67"/>
  <c r="E9" i="18"/>
  <c r="F69" i="14"/>
  <c r="C9" i="18"/>
  <c r="H9"/>
  <c r="B10" i="48"/>
  <c r="C18" i="14"/>
  <c r="F7" i="48"/>
  <c r="F24" s="1"/>
  <c r="J12" i="17"/>
  <c r="K48" i="14" s="1"/>
  <c r="P24" i="48"/>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N8" i="17" l="1"/>
  <c r="N5"/>
  <c r="L8"/>
  <c r="L7" i="48" s="1"/>
  <c r="L24" s="1"/>
  <c r="L5" i="17"/>
  <c r="L29" i="48"/>
  <c r="G31" i="20"/>
  <c r="H43" i="14" s="1"/>
  <c r="K14" i="48"/>
  <c r="L30"/>
  <c r="L23"/>
  <c r="L21"/>
  <c r="M28"/>
  <c r="I16" i="18"/>
  <c r="B81" i="14"/>
  <c r="O78"/>
  <c r="B19" i="18"/>
  <c r="D16" i="15"/>
  <c r="B35" i="13"/>
  <c r="B47" s="1"/>
  <c r="L12" i="17"/>
  <c r="M48" i="14" s="1"/>
  <c r="D81"/>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69" i="14"/>
  <c r="O67"/>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M22" i="14" l="1"/>
  <c r="R22" s="1"/>
  <c r="C14" i="48"/>
  <c r="O22" i="14"/>
  <c r="N12" i="17"/>
  <c r="O48" i="14" s="1"/>
  <c r="N7" i="48"/>
  <c r="N24" s="1"/>
  <c r="J78" i="14"/>
  <c r="I19" i="18"/>
  <c r="Q13" i="48"/>
  <c r="D8"/>
  <c r="D25" s="1"/>
  <c r="D31" s="1"/>
  <c r="E20" i="15"/>
  <c r="F36" i="14" s="1"/>
  <c r="E16" i="15"/>
  <c r="K67" i="14"/>
  <c r="K69" s="1"/>
  <c r="J9" i="18"/>
  <c r="J67" i="14"/>
  <c r="I9" i="18"/>
  <c r="M7"/>
  <c r="M9" s="1"/>
  <c r="J16" i="15"/>
  <c r="J20" s="1"/>
  <c r="K36" i="14" s="1"/>
  <c r="O8" i="48"/>
  <c r="O25" s="1"/>
  <c r="P13" i="14"/>
  <c r="P15" s="1"/>
  <c r="P23" s="1"/>
  <c r="M14" i="22"/>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M9"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K10" i="14" l="1"/>
  <c r="R10" s="1"/>
  <c r="J81"/>
  <c r="C78"/>
  <c r="C81" s="1"/>
  <c r="J5" i="48"/>
  <c r="J22" s="1"/>
  <c r="D14"/>
  <c r="P55" i="14"/>
  <c r="O31" i="48"/>
  <c r="J18" i="16"/>
  <c r="J8" i="48" s="1"/>
  <c r="J25" s="1"/>
  <c r="N18" i="16"/>
  <c r="N8" i="48" s="1"/>
  <c r="E18" i="16"/>
  <c r="E22" s="1"/>
  <c r="F39" i="14" s="1"/>
  <c r="F41" s="1"/>
  <c r="F53" s="1"/>
  <c r="O14" i="48"/>
  <c r="F18" i="16"/>
  <c r="G13" i="14" s="1"/>
  <c r="G15" s="1"/>
  <c r="G23" s="1"/>
  <c r="J69"/>
  <c r="C67"/>
  <c r="C69" s="1"/>
  <c r="B14" i="48"/>
  <c r="K13" i="14"/>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Q5" l="1"/>
  <c r="O13" i="14"/>
  <c r="O15" s="1"/>
  <c r="F22" i="16"/>
  <c r="G39" i="14" s="1"/>
  <c r="G41" s="1"/>
  <c r="F13"/>
  <c r="F15" s="1"/>
  <c r="F23" s="1"/>
  <c r="F55" s="1"/>
  <c r="N22" i="16"/>
  <c r="O39" i="14" s="1"/>
  <c r="O41" s="1"/>
  <c r="K15"/>
  <c r="K23" s="1"/>
  <c r="K55" s="1"/>
  <c r="N25" i="48"/>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<sst xmlns="http://schemas.openxmlformats.org/spreadsheetml/2006/main" count="2056" uniqueCount="908">
  <si>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</si>
  <si>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</si>
  <si>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</si>
  <si>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</si>
  <si>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</si>
  <si>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</si>
  <si>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</si>
  <si>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</si>
  <si>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</si>
  <si>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</si>
  <si>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</si>
  <si>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</si>
  <si>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</si>
  <si>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</si>
  <si>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</si>
  <si>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</si>
  <si>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</si>
  <si>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</si>
  <si>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</si>
  <si>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</si>
  <si>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</si>
  <si>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</si>
  <si>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</si>
  <si>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</si>
  <si>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</si>
  <si>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</si>
  <si>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</si>
  <si>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</si>
  <si>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</si>
  <si>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</si>
  <si>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</si>
  <si>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</si>
  <si>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</si>
  <si>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</si>
  <si>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</si>
  <si>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</si>
  <si>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</si>
  <si>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</si>
  <si>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</si>
  <si>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</si>
  <si>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</si>
  <si>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</si>
  <si>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</si>
  <si>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</si>
  <si>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</si>
  <si>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</si>
  <si>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</si>
  <si>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</si>
  <si>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</si>
  <si>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</si>
  <si>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</si>
  <si>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</si>
  <si>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</si>
  <si>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</si>
  <si>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</si>
  <si>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</si>
  <si>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</si>
  <si>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</si>
  <si>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</si>
  <si>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</si>
  <si>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</si>
  <si>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</si>
  <si>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</si>
  <si>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</si>
  <si>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</si>
  <si>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</si>
  <si>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</si>
  <si>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</si>
  <si>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</si>
  <si>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</si>
  <si>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</si>
  <si>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</si>
  <si>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</si>
  <si>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</si>
  <si>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</si>
  <si>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</si>
  <si>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</si>
  <si>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</si>
  <si>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</si>
  <si>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</si>
  <si>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</si>
  <si>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</si>
  <si>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</si>
  <si>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</si>
  <si>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</si>
  <si>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</si>
  <si>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</si>
  <si>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</si>
  <si>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</si>
  <si>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</si>
  <si>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</si>
  <si>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</si>
  <si>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</si>
  <si>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</si>
  <si>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</si>
  <si>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</si>
  <si>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</si>
  <si>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</si>
  <si>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</si>
  <si>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</si>
  <si>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</si>
  <si>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</si>
  <si>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</si>
  <si>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</si>
  <si>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</si>
  <si>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</si>
  <si>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</si>
  <si>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</si>
  <si>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</si>
  <si>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</si>
  <si>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</si>
  <si>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</si>
  <si>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</si>
  <si>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</si>
  <si>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</si>
  <si>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</si>
  <si>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</si>
  <si>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</si>
  <si>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</si>
  <si>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</si>
  <si>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</si>
  <si>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</si>
  <si>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</si>
  <si>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</si>
  <si>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</si>
  <si>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</si>
  <si>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</si>
  <si>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</si>
  <si>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</si>
  <si>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</si>
  <si>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</si>
  <si>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</si>
  <si>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</si>
  <si>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</si>
  <si>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</si>
  <si>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</si>
  <si>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</si>
  <si>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</si>
  <si>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</si>
  <si>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</si>
  <si>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</si>
  <si>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</si>
  <si>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</si>
  <si>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</si>
  <si>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</si>
  <si>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</si>
  <si>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</si>
  <si>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</si>
  <si>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</si>
  <si>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</si>
  <si>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</si>
  <si>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</si>
  <si>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</si>
  <si>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</si>
  <si>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</si>
  <si>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</si>
  <si>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</si>
  <si>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</si>
  <si>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</si>
  <si>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</si>
  <si>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</si>
  <si>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</si>
  <si>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</si>
  <si>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</si>
  <si>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</si>
  <si>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</si>
  <si>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</si>
  <si>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</si>
  <si>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</si>
  <si>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</si>
  <si>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</si>
  <si>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</si>
  <si>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</si>
  <si>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</si>
  <si>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</si>
  <si>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</si>
  <si>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</si>
  <si>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</si>
  <si>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</si>
  <si>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</si>
  <si>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</si>
  <si>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</si>
  <si>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</si>
  <si>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</si>
  <si>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</si>
  <si>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</si>
  <si>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</si>
  <si>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</si>
  <si>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</si>
  <si>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</si>
  <si>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</si>
  <si>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</si>
  <si>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</si>
  <si>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</si>
  <si>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</si>
  <si>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</si>
  <si>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</si>
  <si>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</si>
  <si>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</si>
  <si>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</si>
  <si>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</si>
  <si>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</si>
  <si>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</si>
  <si>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</si>
  <si>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</si>
  <si>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</si>
  <si>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</si>
  <si>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</si>
  <si>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</si>
  <si>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</si>
  <si>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</si>
  <si>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</si>
  <si>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</si>
  <si>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</si>
  <si>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</si>
  <si>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</si>
  <si>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</si>
  <si>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</si>
  <si>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</si>
  <si>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</si>
  <si>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</si>
  <si>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</si>
  <si>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</si>
  <si>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</si>
  <si>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</si>
  <si>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</si>
  <si>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</si>
  <si>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</si>
  <si>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</si>
  <si>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</si>
  <si>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</si>
  <si>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</si>
  <si>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</si>
  <si>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</si>
  <si>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</si>
  <si>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</si>
  <si>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</si>
  <si>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</si>
  <si>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</si>
  <si>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</si>
  <si>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</si>
  <si>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</si>
  <si>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</si>
  <si>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</si>
  <si>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</si>
  <si>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</si>
  <si>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</si>
  <si>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</si>
  <si>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</si>
  <si>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</si>
  <si>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</si>
  <si>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</si>
  <si>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</si>
  <si>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</si>
  <si>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</si>
  <si>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</si>
  <si>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</si>
  <si>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</si>
  <si>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</si>
  <si>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</si>
  <si>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</si>
  <si>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</si>
  <si>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</si>
  <si>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</si>
  <si>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</si>
  <si>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</si>
  <si>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</si>
  <si>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</si>
  <si>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</si>
  <si>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</si>
  <si>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</si>
  <si>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</si>
  <si>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</si>
  <si>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</si>
  <si>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</si>
  <si>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</si>
  <si>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</si>
  <si>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</si>
  <si>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</si>
  <si>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</si>
  <si>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</si>
  <si>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</si>
  <si>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</si>
  <si>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</si>
  <si>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</si>
  <si>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</si>
  <si>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</si>
  <si>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</si>
  <si>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</si>
  <si>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</si>
  <si>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</si>
  <si>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</si>
  <si>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</si>
  <si>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</si>
  <si>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</si>
  <si>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</si>
  <si>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</si>
  <si>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</si>
  <si>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</si>
  <si>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</si>
  <si>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</si>
  <si>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</si>
  <si>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</si>
  <si>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</si>
  <si>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</si>
  <si>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</si>
  <si>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</si>
  <si>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</si>
  <si>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</si>
  <si>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</si>
  <si>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</si>
  <si>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</si>
  <si>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</si>
  <si>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</si>
  <si>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</si>
  <si>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</si>
  <si>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</si>
  <si>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</si>
  <si>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</si>
  <si>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</si>
  <si>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</si>
  <si>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</si>
  <si>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</si>
  <si>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</si>
  <si>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</si>
  <si>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</si>
  <si>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</si>
  <si>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</si>
  <si>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</si>
  <si>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</si>
  <si>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</si>
  <si>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</si>
  <si>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</si>
  <si>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</si>
  <si>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</si>
  <si>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</si>
  <si>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</si>
  <si>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</si>
  <si>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</si>
  <si>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</si>
  <si>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</si>
  <si>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</si>
  <si>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</si>
  <si>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</si>
  <si>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</si>
  <si>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</si>
  <si>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</si>
  <si>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</si>
  <si>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</si>
  <si>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</si>
  <si>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</si>
  <si>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</si>
  <si>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</si>
  <si>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</si>
  <si>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</si>
  <si>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</si>
  <si>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</si>
  <si>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</si>
  <si>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</si>
  <si>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</si>
  <si>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</si>
  <si>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</si>
  <si>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</si>
  <si>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</si>
  <si>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</si>
  <si>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</si>
  <si>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</si>
  <si>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</si>
  <si>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</si>
  <si>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</si>
  <si>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</si>
  <si>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</si>
  <si>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</si>
  <si>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</si>
  <si>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</si>
  <si>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</si>
  <si>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</si>
  <si>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</si>
  <si>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</si>
  <si>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</si>
  <si>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</si>
  <si>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</si>
  <si>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</si>
  <si>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</si>
  <si>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</si>
  <si>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</si>
  <si>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</si>
  <si>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</si>
  <si>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</si>
  <si>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</si>
  <si>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</si>
  <si>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</si>
  <si>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</si>
  <si>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</si>
  <si>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</si>
  <si>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</si>
  <si>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</si>
  <si>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</si>
  <si>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</si>
  <si>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</si>
  <si>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</si>
  <si>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</si>
  <si>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</si>
  <si>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</si>
  <si>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</si>
  <si>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</si>
  <si>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</si>
  <si>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</si>
  <si>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</si>
  <si>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</si>
  <si>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</si>
  <si>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</si>
  <si>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</si>
  <si>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</si>
  <si>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</si>
  <si>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</si>
  <si>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</si>
  <si>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</si>
  <si>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</si>
  <si>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</si>
  <si>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</si>
  <si>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</si>
  <si>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</si>
  <si>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</si>
  <si>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</si>
  <si>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</si>
  <si>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</si>
  <si>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</si>
  <si>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</si>
  <si>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</si>
  <si>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</si>
  <si>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</si>
  <si>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</si>
  <si>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</si>
  <si>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</si>
  <si>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</si>
  <si>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</si>
  <si>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</si>
  <si>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</si>
  <si>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</si>
  <si>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</si>
  <si>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</si>
  <si>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</si>
  <si>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</si>
  <si>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</si>
  <si>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</si>
  <si>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</si>
  <si>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</si>
  <si>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</si>
  <si>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</si>
  <si>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</si>
  <si>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</si>
  <si>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</si>
  <si>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</si>
  <si>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</si>
  <si>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</si>
  <si>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</si>
  <si>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</si>
  <si>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</si>
  <si>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</si>
  <si>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</si>
  <si>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</si>
  <si>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</si>
  <si>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</si>
  <si>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</si>
  <si>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</si>
  <si>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</si>
  <si>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</si>
  <si>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</si>
  <si>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</si>
  <si>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</si>
  <si>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</si>
  <si>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</si>
  <si>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</si>
  <si>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</si>
  <si>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</si>
  <si>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</si>
  <si>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</si>
  <si>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</si>
  <si>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</si>
  <si>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</si>
  <si>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</si>
  <si>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</si>
  <si>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</si>
  <si>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</si>
  <si>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</si>
  <si>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</si>
  <si>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</si>
  <si>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</si>
  <si>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</si>
  <si>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</si>
  <si>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</si>
  <si>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</si>
  <si>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</si>
  <si>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</si>
  <si>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</si>
  <si>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</si>
  <si>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</si>
  <si>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</si>
  <si>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</si>
  <si>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</si>
  <si>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</si>
  <si>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</si>
  <si>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</si>
  <si>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</si>
  <si>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</si>
  <si>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</si>
  <si>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</si>
  <si>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</si>
  <si>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</si>
  <si>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</si>
  <si>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</si>
  <si>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</si>
  <si>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</si>
  <si>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</si>
  <si>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</si>
  <si>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</si>
  <si>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</si>
  <si>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</si>
  <si>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</si>
  <si>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</si>
  <si>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</si>
  <si>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</si>
  <si>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</si>
  <si>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</si>
  <si>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</si>
  <si>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</si>
  <si>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</si>
  <si>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</si>
  <si>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</si>
  <si>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</si>
  <si>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</si>
  <si>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</si>
  <si>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</si>
  <si>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</si>
  <si>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</si>
  <si>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</si>
  <si>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</si>
  <si>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</si>
  <si>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</si>
  <si>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</si>
  <si>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</si>
  <si>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</si>
  <si>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</si>
  <si>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</si>
  <si>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</si>
  <si>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</si>
  <si>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</si>
  <si>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</si>
  <si>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</si>
  <si>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</si>
  <si>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</si>
  <si>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</si>
  <si>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</si>
  <si>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</si>
  <si>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</si>
  <si>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</si>
  <si>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</si>
  <si>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</si>
  <si>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</si>
  <si>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</si>
  <si>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</si>
  <si>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</si>
  <si>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</si>
  <si>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</si>
  <si>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</si>
  <si>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</si>
  <si>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</si>
  <si>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</si>
  <si>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</si>
  <si>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</si>
  <si>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</si>
  <si>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</si>
  <si>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</si>
  <si>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</si>
  <si>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</si>
  <si>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</si>
  <si>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</si>
  <si>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</si>
  <si>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</si>
  <si>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</si>
  <si>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</si>
  <si>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</si>
  <si>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</si>
  <si>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</si>
  <si>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</si>
  <si>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</si>
  <si>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</si>
  <si>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</si>
  <si>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</si>
  <si>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</si>
  <si>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</si>
  <si>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</si>
  <si>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</si>
  <si>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</si>
  <si>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</si>
  <si>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</si>
  <si>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</si>
  <si>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</si>
  <si>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</si>
  <si>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</si>
  <si>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</si>
  <si>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</si>
  <si>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</si>
  <si>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</si>
  <si>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</si>
  <si>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</si>
  <si>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</si>
  <si>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</si>
  <si>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</si>
  <si>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</si>
  <si>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</si>
  <si>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</si>
  <si>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</si>
  <si>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</si>
  <si>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</si>
  <si>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</si>
  <si>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</si>
  <si>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</si>
  <si>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</si>
  <si>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</si>
  <si>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</si>
  <si>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</si>
  <si>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</si>
  <si>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</si>
  <si>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</si>
  <si>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</si>
  <si>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</si>
  <si>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</si>
  <si>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</si>
  <si>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</si>
  <si>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</si>
  <si>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</si>
  <si>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</si>
  <si>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</si>
  <si>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</si>
  <si>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</si>
  <si>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</si>
  <si>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</si>
  <si>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</si>
  <si>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</si>
  <si>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</si>
  <si>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</si>
  <si>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</si>
  <si>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</si>
  <si>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</si>
  <si>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</si>
  <si>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</si>
  <si>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</si>
  <si>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</si>
  <si>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</si>
  <si>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</si>
  <si>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</si>
  <si>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</si>
  <si>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</si>
  <si>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</si>
  <si>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</si>
  <si>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</si>
  <si>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</si>
  <si>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</si>
  <si>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</si>
  <si>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</si>
  <si>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</si>
  <si>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</si>
  <si>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</si>
  <si>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</si>
  <si>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</si>
  <si>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</si>
  <si>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</si>
  <si>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</si>
  <si>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</si>
  <si>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</si>
  <si>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</si>
  <si>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</si>
  <si>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</si>
  <si>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</si>
  <si>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</si>
  <si>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</si>
  <si>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</si>
  <si>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</si>
  <si>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</si>
  <si>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</si>
  <si>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</si>
  <si>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</si>
  <si>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</si>
  <si>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</si>
  <si>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</si>
  <si>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</si>
  <si>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</si>
  <si>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</si>
  <si>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</si>
  <si>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</si>
  <si>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</si>
  <si>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</si>
  <si>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</si>
  <si>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</si>
  <si>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</si>
  <si>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</si>
  <si>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</si>
  <si>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</si>
  <si>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</si>
  <si>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</si>
  <si>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</si>
  <si>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</si>
  <si>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</si>
  <si>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</si>
  <si>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</si>
  <si>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</si>
  <si>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</si>
  <si>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</si>
  <si>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</si>
  <si>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</si>
  <si>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</si>
  <si>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</si>
  <si>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</si>
  <si>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</si>
  <si>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</si>
  <si>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</si>
  <si>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</si>
  <si>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</si>
  <si>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</si>
  <si>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</si>
  <si>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</si>
  <si>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</si>
  <si>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</si>
  <si>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</si>
  <si>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</si>
  <si>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</si>
  <si>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</si>
  <si>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</si>
  <si>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</si>
  <si>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</si>
  <si>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</si>
  <si>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</si>
  <si>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</si>
  <si>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</si>
  <si>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</si>
  <si>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</si>
  <si>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</si>
  <si>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</si>
  <si>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</si>
  <si>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</si>
  <si>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</si>
  <si>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</si>
  <si>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</si>
  <si>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</si>
  <si>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</si>
  <si>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</si>
  <si>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</si>
  <si>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</si>
  <si>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</si>
  <si>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</si>
  <si>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</si>
  <si>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</si>
  <si>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</si>
  <si>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</si>
  <si>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</si>
  <si>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</si>
  <si>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</si>
  <si>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</si>
  <si>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</si>
  <si>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</si>
  <si>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</si>
  <si>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</si>
  <si>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</si>
  <si>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</si>
  <si>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</si>
  <si>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</si>
  <si>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</si>
  <si>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</si>
  <si>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</si>
  <si>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</si>
  <si>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</si>
  <si>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</si>
  <si>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</si>
  <si>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</si>
  <si>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</si>
  <si>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</si>
  <si>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</si>
  <si>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</si>
  <si>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</si>
  <si>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</si>
  <si>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</si>
  <si>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</si>
  <si>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</si>
  <si>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</si>
  <si>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</si>
  <si>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</si>
  <si>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</si>
  <si>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</si>
  <si>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</si>
  <si>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</si>
  <si>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</si>
  <si>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</si>
  <si>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</si>
  <si>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</si>
  <si>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</si>
  <si>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</si>
  <si>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</si>
  <si>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</si>
  <si>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</si>
  <si>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</si>
  <si>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</si>
  <si>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</si>
  <si>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</si>
  <si>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</si>
  <si>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</si>
  <si>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</si>
  <si>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</si>
  <si>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</si>
  <si>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</si>
  <si>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</si>
  <si>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</si>
  <si>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</si>
  <si>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</si>
  <si>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</si>
  <si>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</si>
  <si>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</si>
  <si>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</si>
  <si>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</si>
  <si>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</si>
  <si>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</si>
  <si>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</si>
  <si>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</si>
  <si>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</si>
  <si>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</si>
  <si>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</si>
  <si>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</si>
  <si>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</si>
  <si>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</si>
  <si>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</si>
  <si>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</si>
  <si>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</si>
  <si>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</si>
  <si>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</si>
  <si>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</si>
  <si>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</si>
  <si>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</si>
  <si>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</si>
  <si>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</si>
  <si>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</si>
  <si>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</si>
  <si>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</si>
  <si>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</si>
  <si>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</si>
  <si>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</si>
  <si>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</si>
  <si>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</si>
  <si>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</si>
  <si>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</si>
  <si>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</si>
  <si>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</si>
  <si>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</si>
  <si>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</si>
  <si>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</si>
  <si>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</si>
  <si>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</si>
  <si>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</si>
  <si>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</si>
  <si>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</si>
  <si>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</si>
  <si>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</si>
  <si>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</si>
  <si>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</si>
  <si>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</si>
  <si>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</si>
  <si>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</si>
  <si>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</si>
  <si>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</si>
  <si>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</si>
  <si>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</si>
  <si>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</si>
  <si>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</si>
  <si>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</si>
  <si>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</si>
  <si>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</si>
  <si>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</si>
  <si>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</si>
  <si>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</si>
  <si>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</si>
  <si>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</si>
  <si>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</si>
  <si>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</si>
  <si>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</si>
  <si>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</si>
  <si>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72039</t>
  </si>
  <si>
    <t>HOUTHALEN-HELCHTEREN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</si>
  <si>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</si>
  <si>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</si>
  <si>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</si>
  <si>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</si>
  <si>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</si>
  <si>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</si>
  <si>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</si>
  <si>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FaCoTherm nv</t>
  </si>
  <si>
    <t>Centrum-Zuid 1511 , 3530 Houthalen</t>
  </si>
  <si>
    <t>WKK-0362 FaCoTherm</t>
  </si>
  <si>
    <t>stirlingmotor</t>
  </si>
  <si>
    <t>Inter-Energa</t>
  </si>
  <si>
    <t>Remo Milieubeheer NV</t>
  </si>
  <si>
    <t>Ekkelgaarden 16 , 3500 Hasselt</t>
  </si>
  <si>
    <t>WKK-0218 Remo Milieubeheer</t>
  </si>
  <si>
    <t>interne verbrandingsmotor</t>
  </si>
  <si>
    <t>WKK interne verbrandinsgmotor (gas)</t>
  </si>
  <si>
    <t>Loerstraat z/n , 3530 Houthalen-Helchteren</t>
  </si>
  <si>
    <t>STORG bvba</t>
  </si>
  <si>
    <t>Peersedijk 3, 3530 Helchteren</t>
  </si>
  <si>
    <t xml:space="preserve">WKK-0174 Storg </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</si>
</sst>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72039</v>
      </c>
      <c r="B6" s="396"/>
      <c r="C6" s="397"/>
    </row>
    <row r="7" spans="1:7" s="394" customFormat="1" ht="15.75" customHeight="1">
      <c r="A7" s="398" t="str">
        <f>txtMunicipality</f>
        <v>HOUTHALEN-HELCHTEREN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11219</v>
      </c>
      <c r="C9" s="336">
        <v>11709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2550</v>
      </c>
    </row>
    <row r="15" spans="1:6">
      <c r="A15" s="1194" t="s">
        <v>185</v>
      </c>
      <c r="B15" s="333">
        <v>1147</v>
      </c>
    </row>
    <row r="16" spans="1:6">
      <c r="A16" s="1194" t="s">
        <v>6</v>
      </c>
      <c r="B16" s="333">
        <v>268</v>
      </c>
    </row>
    <row r="17" spans="1:6">
      <c r="A17" s="1194" t="s">
        <v>7</v>
      </c>
      <c r="B17" s="333">
        <v>39</v>
      </c>
    </row>
    <row r="18" spans="1:6">
      <c r="A18" s="1194" t="s">
        <v>8</v>
      </c>
      <c r="B18" s="333">
        <v>142</v>
      </c>
    </row>
    <row r="19" spans="1:6">
      <c r="A19" s="1194" t="s">
        <v>9</v>
      </c>
      <c r="B19" s="333">
        <v>121</v>
      </c>
    </row>
    <row r="20" spans="1:6">
      <c r="A20" s="1194" t="s">
        <v>10</v>
      </c>
      <c r="B20" s="333">
        <v>85</v>
      </c>
    </row>
    <row r="21" spans="1:6">
      <c r="A21" s="1194" t="s">
        <v>11</v>
      </c>
      <c r="B21" s="333">
        <v>2970</v>
      </c>
    </row>
    <row r="22" spans="1:6">
      <c r="A22" s="1194" t="s">
        <v>12</v>
      </c>
      <c r="B22" s="333">
        <v>1464</v>
      </c>
    </row>
    <row r="23" spans="1:6">
      <c r="A23" s="1194" t="s">
        <v>13</v>
      </c>
      <c r="B23" s="333">
        <v>0</v>
      </c>
    </row>
    <row r="24" spans="1:6">
      <c r="A24" s="1194" t="s">
        <v>14</v>
      </c>
      <c r="B24" s="333">
        <v>0</v>
      </c>
    </row>
    <row r="25" spans="1:6">
      <c r="A25" s="1194" t="s">
        <v>15</v>
      </c>
      <c r="B25" s="333">
        <v>0</v>
      </c>
    </row>
    <row r="26" spans="1:6">
      <c r="A26" s="1194" t="s">
        <v>16</v>
      </c>
      <c r="B26" s="333">
        <v>992</v>
      </c>
    </row>
    <row r="27" spans="1:6">
      <c r="A27" s="1194" t="s">
        <v>17</v>
      </c>
      <c r="B27" s="333">
        <v>2</v>
      </c>
    </row>
    <row r="28" spans="1:6">
      <c r="A28" s="1194" t="s">
        <v>18</v>
      </c>
      <c r="B28" s="333">
        <v>29143</v>
      </c>
    </row>
    <row r="29" spans="1:6">
      <c r="A29" s="1194" t="s">
        <v>888</v>
      </c>
      <c r="B29" s="333">
        <v>82</v>
      </c>
    </row>
    <row r="30" spans="1:6">
      <c r="A30" s="1190" t="s">
        <v>889</v>
      </c>
      <c r="B30" s="1190">
        <v>20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5</v>
      </c>
      <c r="F36" s="333">
        <v>10236</v>
      </c>
    </row>
    <row r="37" spans="1:6">
      <c r="A37" s="1194" t="s">
        <v>25</v>
      </c>
      <c r="B37" s="1194" t="s">
        <v>28</v>
      </c>
      <c r="C37" s="333">
        <v>0</v>
      </c>
      <c r="D37" s="333">
        <v>0</v>
      </c>
      <c r="E37" s="333">
        <v>0</v>
      </c>
      <c r="F37" s="333">
        <v>0</v>
      </c>
    </row>
    <row r="38" spans="1:6">
      <c r="A38" s="1194" t="s">
        <v>25</v>
      </c>
      <c r="B38" s="1194" t="s">
        <v>29</v>
      </c>
      <c r="C38" s="333">
        <v>2</v>
      </c>
      <c r="D38" s="333">
        <v>68932</v>
      </c>
      <c r="E38" s="333">
        <v>0</v>
      </c>
      <c r="F38" s="333">
        <v>0</v>
      </c>
    </row>
    <row r="39" spans="1:6">
      <c r="A39" s="1194" t="s">
        <v>30</v>
      </c>
      <c r="B39" s="1194" t="s">
        <v>31</v>
      </c>
      <c r="C39" s="333">
        <v>5157</v>
      </c>
      <c r="D39" s="333">
        <v>86289890</v>
      </c>
      <c r="E39" s="333">
        <v>11460</v>
      </c>
      <c r="F39" s="333">
        <v>51670752</v>
      </c>
    </row>
    <row r="40" spans="1:6">
      <c r="A40" s="1194" t="s">
        <v>30</v>
      </c>
      <c r="B40" s="1194" t="s">
        <v>29</v>
      </c>
      <c r="C40" s="333">
        <v>0</v>
      </c>
      <c r="D40" s="333">
        <v>0</v>
      </c>
      <c r="E40" s="333">
        <v>0</v>
      </c>
      <c r="F40" s="333">
        <v>0</v>
      </c>
    </row>
    <row r="41" spans="1:6">
      <c r="A41" s="1194" t="s">
        <v>32</v>
      </c>
      <c r="B41" s="1194" t="s">
        <v>33</v>
      </c>
      <c r="C41" s="333">
        <v>68</v>
      </c>
      <c r="D41" s="333">
        <v>9300786</v>
      </c>
      <c r="E41" s="333">
        <v>138</v>
      </c>
      <c r="F41" s="333">
        <v>9231224</v>
      </c>
    </row>
    <row r="42" spans="1:6">
      <c r="A42" s="1194" t="s">
        <v>32</v>
      </c>
      <c r="B42" s="1194" t="s">
        <v>34</v>
      </c>
      <c r="C42" s="333">
        <v>0</v>
      </c>
      <c r="D42" s="333">
        <v>0</v>
      </c>
      <c r="E42" s="333">
        <v>4</v>
      </c>
      <c r="F42" s="333">
        <v>3596815</v>
      </c>
    </row>
    <row r="43" spans="1:6">
      <c r="A43" s="1194" t="s">
        <v>32</v>
      </c>
      <c r="B43" s="1194" t="s">
        <v>35</v>
      </c>
      <c r="C43" s="333">
        <v>0</v>
      </c>
      <c r="D43" s="333">
        <v>0</v>
      </c>
      <c r="E43" s="333">
        <v>0</v>
      </c>
      <c r="F43" s="333">
        <v>0</v>
      </c>
    </row>
    <row r="44" spans="1:6">
      <c r="A44" s="1194" t="s">
        <v>32</v>
      </c>
      <c r="B44" s="1194" t="s">
        <v>36</v>
      </c>
      <c r="C44" s="333">
        <v>23</v>
      </c>
      <c r="D44" s="333">
        <v>10533300</v>
      </c>
      <c r="E44" s="333">
        <v>32</v>
      </c>
      <c r="F44" s="333">
        <v>12376427</v>
      </c>
    </row>
    <row r="45" spans="1:6">
      <c r="A45" s="1194" t="s">
        <v>32</v>
      </c>
      <c r="B45" s="1194" t="s">
        <v>37</v>
      </c>
      <c r="C45" s="333">
        <v>5</v>
      </c>
      <c r="D45" s="333">
        <v>10393009</v>
      </c>
      <c r="E45" s="333">
        <v>14</v>
      </c>
      <c r="F45" s="333">
        <v>5834193</v>
      </c>
    </row>
    <row r="46" spans="1:6">
      <c r="A46" s="1194" t="s">
        <v>32</v>
      </c>
      <c r="B46" s="1194" t="s">
        <v>38</v>
      </c>
      <c r="C46" s="333">
        <v>0</v>
      </c>
      <c r="D46" s="333">
        <v>0</v>
      </c>
      <c r="E46" s="333">
        <v>0</v>
      </c>
      <c r="F46" s="333">
        <v>0</v>
      </c>
    </row>
    <row r="47" spans="1:6">
      <c r="A47" s="1194" t="s">
        <v>32</v>
      </c>
      <c r="B47" s="1194" t="s">
        <v>39</v>
      </c>
      <c r="C47" s="333">
        <v>7</v>
      </c>
      <c r="D47" s="333">
        <v>330131</v>
      </c>
      <c r="E47" s="333">
        <v>7</v>
      </c>
      <c r="F47" s="333">
        <v>833668</v>
      </c>
    </row>
    <row r="48" spans="1:6">
      <c r="A48" s="1194" t="s">
        <v>32</v>
      </c>
      <c r="B48" s="1194" t="s">
        <v>29</v>
      </c>
      <c r="C48" s="333">
        <v>2</v>
      </c>
      <c r="D48" s="333">
        <v>1626475</v>
      </c>
      <c r="E48" s="333">
        <v>0</v>
      </c>
      <c r="F48" s="333">
        <v>0</v>
      </c>
    </row>
    <row r="49" spans="1:6">
      <c r="A49" s="1194" t="s">
        <v>32</v>
      </c>
      <c r="B49" s="1194" t="s">
        <v>40</v>
      </c>
      <c r="C49" s="333">
        <v>3</v>
      </c>
      <c r="D49" s="333">
        <v>381329</v>
      </c>
      <c r="E49" s="333">
        <v>4</v>
      </c>
      <c r="F49" s="333">
        <v>288590</v>
      </c>
    </row>
    <row r="50" spans="1:6">
      <c r="A50" s="1194" t="s">
        <v>32</v>
      </c>
      <c r="B50" s="1194" t="s">
        <v>41</v>
      </c>
      <c r="C50" s="333">
        <v>9</v>
      </c>
      <c r="D50" s="333">
        <v>3598102</v>
      </c>
      <c r="E50" s="333">
        <v>13</v>
      </c>
      <c r="F50" s="333">
        <v>591759</v>
      </c>
    </row>
    <row r="51" spans="1:6">
      <c r="A51" s="1194" t="s">
        <v>42</v>
      </c>
      <c r="B51" s="1194" t="s">
        <v>43</v>
      </c>
      <c r="C51" s="333">
        <v>3</v>
      </c>
      <c r="D51" s="333">
        <v>44081</v>
      </c>
      <c r="E51" s="333">
        <v>16</v>
      </c>
      <c r="F51" s="333">
        <v>240523</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149</v>
      </c>
      <c r="F54" s="333">
        <v>1470093</v>
      </c>
    </row>
    <row r="55" spans="1:6">
      <c r="A55" s="1194" t="s">
        <v>46</v>
      </c>
      <c r="B55" s="1194" t="s">
        <v>29</v>
      </c>
      <c r="C55" s="333">
        <v>0</v>
      </c>
      <c r="D55" s="333">
        <v>0</v>
      </c>
      <c r="E55" s="333">
        <v>0</v>
      </c>
      <c r="F55" s="333">
        <v>0</v>
      </c>
    </row>
    <row r="56" spans="1:6">
      <c r="A56" s="1194" t="s">
        <v>48</v>
      </c>
      <c r="B56" s="1194" t="s">
        <v>29</v>
      </c>
      <c r="C56" s="333">
        <v>66</v>
      </c>
      <c r="D56" s="333">
        <v>6729743</v>
      </c>
      <c r="E56" s="333">
        <v>222</v>
      </c>
      <c r="F56" s="333">
        <v>10350807</v>
      </c>
    </row>
    <row r="57" spans="1:6">
      <c r="A57" s="1194" t="s">
        <v>49</v>
      </c>
      <c r="B57" s="1194" t="s">
        <v>50</v>
      </c>
      <c r="C57" s="333">
        <v>46</v>
      </c>
      <c r="D57" s="333">
        <v>14683065</v>
      </c>
      <c r="E57" s="333">
        <v>116</v>
      </c>
      <c r="F57" s="333">
        <v>10259484</v>
      </c>
    </row>
    <row r="58" spans="1:6">
      <c r="A58" s="1194" t="s">
        <v>49</v>
      </c>
      <c r="B58" s="1194" t="s">
        <v>51</v>
      </c>
      <c r="C58" s="333">
        <v>16</v>
      </c>
      <c r="D58" s="333">
        <v>1193088</v>
      </c>
      <c r="E58" s="333">
        <v>66</v>
      </c>
      <c r="F58" s="333">
        <v>1521157</v>
      </c>
    </row>
    <row r="59" spans="1:6">
      <c r="A59" s="1194" t="s">
        <v>49</v>
      </c>
      <c r="B59" s="1194" t="s">
        <v>52</v>
      </c>
      <c r="C59" s="333">
        <v>103</v>
      </c>
      <c r="D59" s="333">
        <v>5286132</v>
      </c>
      <c r="E59" s="333">
        <v>273</v>
      </c>
      <c r="F59" s="333">
        <v>10997809</v>
      </c>
    </row>
    <row r="60" spans="1:6">
      <c r="A60" s="1194" t="s">
        <v>49</v>
      </c>
      <c r="B60" s="1194" t="s">
        <v>53</v>
      </c>
      <c r="C60" s="333">
        <v>48</v>
      </c>
      <c r="D60" s="333">
        <v>8310382</v>
      </c>
      <c r="E60" s="333">
        <v>107</v>
      </c>
      <c r="F60" s="333">
        <v>5844727</v>
      </c>
    </row>
    <row r="61" spans="1:6">
      <c r="A61" s="1194" t="s">
        <v>49</v>
      </c>
      <c r="B61" s="1194" t="s">
        <v>54</v>
      </c>
      <c r="C61" s="333">
        <v>141</v>
      </c>
      <c r="D61" s="333">
        <v>14756176</v>
      </c>
      <c r="E61" s="333">
        <v>379</v>
      </c>
      <c r="F61" s="333">
        <v>9196073</v>
      </c>
    </row>
    <row r="62" spans="1:6">
      <c r="A62" s="1194" t="s">
        <v>49</v>
      </c>
      <c r="B62" s="1194" t="s">
        <v>55</v>
      </c>
      <c r="C62" s="333">
        <v>11</v>
      </c>
      <c r="D62" s="333">
        <v>2304229</v>
      </c>
      <c r="E62" s="333">
        <v>18</v>
      </c>
      <c r="F62" s="333">
        <v>715302</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1</v>
      </c>
      <c r="F65" s="333">
        <v>6433</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90279</v>
      </c>
      <c r="E68" s="333">
        <v>12</v>
      </c>
      <c r="F68" s="333">
        <v>393635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118857125</v>
      </c>
      <c r="E73" s="333">
        <v>172020333.71947557</v>
      </c>
      <c r="F73" s="333">
        <v>142259751</v>
      </c>
    </row>
    <row r="74" spans="1:6">
      <c r="A74" s="1194" t="s">
        <v>64</v>
      </c>
      <c r="B74" s="1194" t="s">
        <v>775</v>
      </c>
      <c r="C74" s="1205" t="s">
        <v>776</v>
      </c>
      <c r="D74" s="333">
        <v>9236515.8120142426</v>
      </c>
      <c r="E74" s="333">
        <v>13025749.361394526</v>
      </c>
      <c r="F74" s="333">
        <v>11574284.786027383</v>
      </c>
    </row>
    <row r="75" spans="1:6">
      <c r="A75" s="1194" t="s">
        <v>65</v>
      </c>
      <c r="B75" s="1194" t="s">
        <v>773</v>
      </c>
      <c r="C75" s="1205" t="s">
        <v>777</v>
      </c>
      <c r="D75" s="333">
        <v>42090001</v>
      </c>
      <c r="E75" s="333">
        <v>60559428.11947035</v>
      </c>
      <c r="F75" s="333">
        <v>50342638</v>
      </c>
    </row>
    <row r="76" spans="1:6">
      <c r="A76" s="1194" t="s">
        <v>65</v>
      </c>
      <c r="B76" s="1194" t="s">
        <v>775</v>
      </c>
      <c r="C76" s="1205" t="s">
        <v>778</v>
      </c>
      <c r="D76" s="333">
        <v>343412.81201424275</v>
      </c>
      <c r="E76" s="333">
        <v>736577.93508504762</v>
      </c>
      <c r="F76" s="333">
        <v>695704.78602738283</v>
      </c>
    </row>
    <row r="77" spans="1:6">
      <c r="A77" s="1194" t="s">
        <v>66</v>
      </c>
      <c r="B77" s="1194" t="s">
        <v>773</v>
      </c>
      <c r="C77" s="1205" t="s">
        <v>779</v>
      </c>
      <c r="D77" s="333">
        <v>41665431</v>
      </c>
      <c r="E77" s="333">
        <v>51640286.141877636</v>
      </c>
      <c r="F77" s="333">
        <v>44826092</v>
      </c>
    </row>
    <row r="78" spans="1:6">
      <c r="A78" s="1190" t="s">
        <v>66</v>
      </c>
      <c r="B78" s="1190" t="s">
        <v>775</v>
      </c>
      <c r="C78" s="1190" t="s">
        <v>780</v>
      </c>
      <c r="D78" s="1190">
        <v>7527709</v>
      </c>
      <c r="E78" s="1190">
        <v>8519025.1542662494</v>
      </c>
      <c r="F78" s="336">
        <v>7896333</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1194392.3759715145</v>
      </c>
      <c r="C83" s="333">
        <v>1092134.062180225</v>
      </c>
      <c r="D83" s="333">
        <v>1111074.4279452343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3607.2735744941315</v>
      </c>
    </row>
    <row r="92" spans="1:6">
      <c r="A92" s="1190" t="s">
        <v>69</v>
      </c>
      <c r="B92" s="336">
        <v>3337.3016575624702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2539</v>
      </c>
    </row>
    <row r="98" spans="1:6">
      <c r="A98" s="1194" t="s">
        <v>72</v>
      </c>
      <c r="B98" s="333">
        <v>4</v>
      </c>
    </row>
    <row r="99" spans="1:6">
      <c r="A99" s="1194" t="s">
        <v>73</v>
      </c>
      <c r="B99" s="333">
        <v>32</v>
      </c>
    </row>
    <row r="100" spans="1:6">
      <c r="A100" s="1194" t="s">
        <v>74</v>
      </c>
      <c r="B100" s="333">
        <v>215</v>
      </c>
    </row>
    <row r="101" spans="1:6">
      <c r="A101" s="1194" t="s">
        <v>75</v>
      </c>
      <c r="B101" s="333">
        <v>70</v>
      </c>
    </row>
    <row r="102" spans="1:6">
      <c r="A102" s="1194" t="s">
        <v>76</v>
      </c>
      <c r="B102" s="333">
        <v>101</v>
      </c>
    </row>
    <row r="103" spans="1:6">
      <c r="A103" s="1194" t="s">
        <v>77</v>
      </c>
      <c r="B103" s="333">
        <v>138</v>
      </c>
    </row>
    <row r="104" spans="1:6">
      <c r="A104" s="1194" t="s">
        <v>78</v>
      </c>
      <c r="B104" s="333">
        <v>6792</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2</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22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98</v>
      </c>
    </row>
    <row r="130" spans="1:6">
      <c r="A130" s="1194" t="s">
        <v>296</v>
      </c>
      <c r="B130" s="333">
        <v>0</v>
      </c>
    </row>
    <row r="131" spans="1:6">
      <c r="A131" s="1194" t="s">
        <v>297</v>
      </c>
      <c r="B131" s="333">
        <v>3</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134420.36223888659</v>
      </c>
      <c r="C3" s="43" t="s">
        <v>171</v>
      </c>
      <c r="D3" s="43"/>
      <c r="E3" s="156"/>
      <c r="F3" s="43"/>
      <c r="G3" s="43"/>
      <c r="H3" s="43"/>
      <c r="I3" s="43"/>
      <c r="J3" s="43"/>
      <c r="K3" s="96"/>
    </row>
    <row r="4" spans="1:11">
      <c r="A4" s="364" t="s">
        <v>172</v>
      </c>
      <c r="B4" s="49">
        <f>IF(ISERROR('SEAP template'!B69),0,'SEAP template'!B69)</f>
        <v>26587.450232056603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0.20793533871905959</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0.17728922234635944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0.29706466128094039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28062.589285714286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1.058578943861627E-5</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1470.0930000000001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1470.0930000000001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0.17728922234635944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260.63164474682662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51670.752</v>
      </c>
      <c r="C5" s="17">
        <f>IF(ISERROR('Eigen informatie GS &amp; warmtenet'!B57),0,'Eigen informatie GS &amp; warmtenet'!B57)</f>
        <v>0</v>
      </c>
      <c r="D5" s="30">
        <f>(SUM(HH_hh_gas_kWh,HH_rest_gas_kWh)/1000)*0.902</f>
        <v>77833.480779999998</v>
      </c>
      <c r="E5" s="17">
        <f>B46*B57</f>
        <v>3349.7044977337605</v>
      </c>
      <c r="F5" s="17">
        <f>B51*B62</f>
        <v>101145.5811766085</v>
      </c>
      <c r="G5" s="18"/>
      <c r="H5" s="17"/>
      <c r="I5" s="17"/>
      <c r="J5" s="17">
        <f>B50*B61+C50*C61</f>
        <v>0</v>
      </c>
      <c r="K5" s="17"/>
      <c r="L5" s="17"/>
      <c r="M5" s="17"/>
      <c r="N5" s="17">
        <f>B48*B59+C48*C59</f>
        <v>21200.907880749382</v>
      </c>
      <c r="O5" s="17">
        <f>B69*B70*B71</f>
        <v>187.6</v>
      </c>
      <c r="P5" s="17">
        <f>B77*B78*B79/1000-B77*B78*B79/1000/B80</f>
        <v>247.86666666666667</v>
      </c>
    </row>
    <row r="6" spans="1:16">
      <c r="A6" s="16" t="s">
        <v>633</v>
      </c>
      <c r="B6" s="830">
        <f>kWh_PV_kleiner_dan_10kW</f>
        <v>3607.2735744941315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55278.025574494131</v>
      </c>
      <c r="C8" s="21">
        <f>C5</f>
        <v>0</v>
      </c>
      <c r="D8" s="21">
        <f>D5</f>
        <v>77833.480779999998</v>
      </c>
      <c r="E8" s="21">
        <f>E5</f>
        <v>3349.7044977337605</v>
      </c>
      <c r="F8" s="21">
        <f>F5</f>
        <v>101145.5811766085</v>
      </c>
      <c r="G8" s="21"/>
      <c r="H8" s="21"/>
      <c r="I8" s="21"/>
      <c r="J8" s="21">
        <f>J5</f>
        <v>0</v>
      </c>
      <c r="K8" s="21"/>
      <c r="L8" s="21">
        <f>L5</f>
        <v>0</v>
      </c>
      <c r="M8" s="21">
        <f>M5</f>
        <v>0</v>
      </c>
      <c r="N8" s="21">
        <f>N5</f>
        <v>21200.907880749382</v>
      </c>
      <c r="O8" s="21">
        <f>O5</f>
        <v>187.6</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0.17728922234635944</v>
      </c>
      <c r="C10" s="25">
        <f ca="1">'EF ele_warmte'!B22</f>
        <v>1.058578943861627E-5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9800.1981669442339</v>
      </c>
      <c r="C12" s="23">
        <f ca="1">C10*C8</f>
        <v>0</v>
      </c>
      <c r="D12" s="23">
        <f>D8*D10</f>
        <v>15722.36311756</v>
      </c>
      <c r="E12" s="23">
        <f>E10*E8</f>
        <v>760.3829209855636</v>
      </c>
      <c r="F12" s="23">
        <f>F10*F8</f>
        <v>27005.870174154468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2539</v>
      </c>
      <c r="C18" s="167" t="s">
        <v>111</v>
      </c>
      <c r="D18" s="229"/>
      <c r="E18" s="15"/>
    </row>
    <row r="19" spans="1:7">
      <c r="A19" s="172" t="s">
        <v>72</v>
      </c>
      <c r="B19" s="37">
        <f>aantalw2001_ander</f>
        <v>4</v>
      </c>
      <c r="C19" s="167" t="s">
        <v>111</v>
      </c>
      <c r="D19" s="230"/>
      <c r="E19" s="15"/>
    </row>
    <row r="20" spans="1:7">
      <c r="A20" s="172" t="s">
        <v>73</v>
      </c>
      <c r="B20" s="37">
        <f>aantalw2001_propaan</f>
        <v>32</v>
      </c>
      <c r="C20" s="168">
        <f>IF(ISERROR(B20/SUM($B$20,$B$21,$B$22)*100),0,B20/SUM($B$20,$B$21,$B$22)*100)</f>
        <v>10.094637223974763</v>
      </c>
      <c r="D20" s="230"/>
      <c r="E20" s="15"/>
    </row>
    <row r="21" spans="1:7">
      <c r="A21" s="172" t="s">
        <v>74</v>
      </c>
      <c r="B21" s="37">
        <f>aantalw2001_elektriciteit</f>
        <v>215</v>
      </c>
      <c r="C21" s="168">
        <f>IF(ISERROR(B21/SUM($B$20,$B$21,$B$22)*100),0,B21/SUM($B$20,$B$21,$B$22)*100)</f>
        <v>67.823343848580436</v>
      </c>
      <c r="D21" s="230"/>
      <c r="E21" s="15"/>
    </row>
    <row r="22" spans="1:7">
      <c r="A22" s="172" t="s">
        <v>75</v>
      </c>
      <c r="B22" s="37">
        <f>aantalw2001_hout</f>
        <v>70</v>
      </c>
      <c r="C22" s="168">
        <f>IF(ISERROR(B22/SUM($B$20,$B$21,$B$22)*100),0,B22/SUM($B$20,$B$21,$B$22)*100)</f>
        <v>22.082018927444793</v>
      </c>
      <c r="D22" s="230"/>
      <c r="E22" s="15"/>
    </row>
    <row r="23" spans="1:7">
      <c r="A23" s="172" t="s">
        <v>76</v>
      </c>
      <c r="B23" s="37">
        <f>aantalw2001_niet_gespec</f>
        <v>101</v>
      </c>
      <c r="C23" s="167" t="s">
        <v>111</v>
      </c>
      <c r="D23" s="229"/>
      <c r="E23" s="15"/>
    </row>
    <row r="24" spans="1:7">
      <c r="A24" s="172" t="s">
        <v>77</v>
      </c>
      <c r="B24" s="37">
        <f>aantalw2001_steenkool</f>
        <v>138</v>
      </c>
      <c r="C24" s="167" t="s">
        <v>111</v>
      </c>
      <c r="D24" s="230"/>
      <c r="E24" s="15"/>
    </row>
    <row r="25" spans="1:7">
      <c r="A25" s="172" t="s">
        <v>78</v>
      </c>
      <c r="B25" s="37">
        <f>aantalw2001_stookolie</f>
        <v>6792</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11219</v>
      </c>
      <c r="C28" s="36"/>
      <c r="D28" s="229"/>
    </row>
    <row r="29" spans="1:7" s="15" customFormat="1">
      <c r="A29" s="231" t="s">
        <v>714</v>
      </c>
      <c r="B29" s="37">
        <f>SUM(HH_hh_gas_aantal,HH_rest_gas_aantal)</f>
        <v>5157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5157</v>
      </c>
      <c r="C32" s="168">
        <f>IF(ISERROR(B32/SUM($B$32,$B$34,$B$35,$B$36,$B$38,$B$39)*100),0,B32/SUM($B$32,$B$34,$B$35,$B$36,$B$38,$B$39)*100)</f>
        <v>46.019989291451004</v>
      </c>
      <c r="D32" s="234"/>
      <c r="G32" s="15"/>
    </row>
    <row r="33" spans="1:7">
      <c r="A33" s="172" t="s">
        <v>72</v>
      </c>
      <c r="B33" s="34" t="s">
        <v>111</v>
      </c>
      <c r="C33" s="168"/>
      <c r="D33" s="234"/>
      <c r="G33" s="15"/>
    </row>
    <row r="34" spans="1:7">
      <c r="A34" s="172" t="s">
        <v>73</v>
      </c>
      <c r="B34" s="33">
        <f>IF((($B$28-$B$32-$B$39-$B$77-$B$38)*C20/100)&lt;0,0,($B$28-$B$32-$B$39-$B$77-$B$38)*C20/100)</f>
        <v>162.84668769716095</v>
      </c>
      <c r="C34" s="168">
        <f>IF(ISERROR(B34/SUM($B$32,$B$34,$B$35,$B$36,$B$38,$B$39)*100),0,B34/SUM($B$32,$B$34,$B$35,$B$36,$B$38,$B$39)*100)</f>
        <v>1.4532097777722732</v>
      </c>
      <c r="D34" s="234"/>
      <c r="G34" s="15"/>
    </row>
    <row r="35" spans="1:7">
      <c r="A35" s="172" t="s">
        <v>74</v>
      </c>
      <c r="B35" s="33">
        <f>IF((($B$28-$B$32-$B$39-$B$77-$B$38)*C21/100)&lt;0,0,($B$28-$B$32-$B$39-$B$77-$B$38)*C21/100)</f>
        <v>1094.1261829653001</v>
      </c>
      <c r="C35" s="168">
        <f>IF(ISERROR(B35/SUM($B$32,$B$34,$B$35,$B$36,$B$38,$B$39)*100),0,B35/SUM($B$32,$B$34,$B$35,$B$36,$B$38,$B$39)*100)</f>
        <v>9.7637531944074603</v>
      </c>
      <c r="D35" s="234"/>
      <c r="G35" s="15"/>
    </row>
    <row r="36" spans="1:7">
      <c r="A36" s="172" t="s">
        <v>75</v>
      </c>
      <c r="B36" s="33">
        <f>IF((($B$28-$B$32-$B$39-$B$77-$B$38)*C22/100)&lt;0,0,($B$28-$B$32-$B$39-$B$77-$B$38)*C22/100)</f>
        <v>356.22712933753957</v>
      </c>
      <c r="C36" s="168">
        <f>IF(ISERROR(B36/SUM($B$32,$B$34,$B$35,$B$36,$B$38,$B$39)*100),0,B36/SUM($B$32,$B$34,$B$35,$B$36,$B$38,$B$39)*100)</f>
        <v>3.178896388876848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4435.7999999999993</v>
      </c>
      <c r="C39" s="168">
        <f>IF(ISERROR(B39/SUM($B$32,$B$34,$B$35,$B$36,$B$38,$B$39)*100),0,B39/SUM($B$32,$B$34,$B$35,$B$36,$B$38,$B$39)*100)</f>
        <v>39.584151347492408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5157</v>
      </c>
      <c r="C44" s="34" t="s">
        <v>111</v>
      </c>
      <c r="D44" s="175"/>
    </row>
    <row r="45" spans="1:7">
      <c r="A45" s="172" t="s">
        <v>72</v>
      </c>
      <c r="B45" s="33" t="str">
        <f t="shared" si="0"/>
        <v>-</v>
      </c>
      <c r="C45" s="34" t="s">
        <v>111</v>
      </c>
      <c r="D45" s="175"/>
    </row>
    <row r="46" spans="1:7">
      <c r="A46" s="172" t="s">
        <v>73</v>
      </c>
      <c r="B46" s="33">
        <f t="shared" si="0"/>
        <v>162.84668769716095</v>
      </c>
      <c r="C46" s="34" t="s">
        <v>111</v>
      </c>
      <c r="D46" s="175"/>
    </row>
    <row r="47" spans="1:7">
      <c r="A47" s="172" t="s">
        <v>74</v>
      </c>
      <c r="B47" s="33">
        <f t="shared" si="0"/>
        <v>1094.1261829653001</v>
      </c>
      <c r="C47" s="34" t="s">
        <v>111</v>
      </c>
      <c r="D47" s="175"/>
    </row>
    <row r="48" spans="1:7">
      <c r="A48" s="172" t="s">
        <v>75</v>
      </c>
      <c r="B48" s="33">
        <f t="shared" si="0"/>
        <v>356.22712933753957</v>
      </c>
      <c r="C48" s="33">
        <f>B48*10</f>
        <v>3562.2712933753955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4435.7999999999993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38534.552000000003</v>
      </c>
      <c r="C5" s="17">
        <f>IF(ISERROR('Eigen informatie GS &amp; warmtenet'!B58),0,'Eigen informatie GS &amp; warmtenet'!B58)</f>
        <v>0</v>
      </c>
      <c r="D5" s="30">
        <f>SUM(D6:D12)</f>
        <v>41972.830944000001</v>
      </c>
      <c r="E5" s="17">
        <f>SUM(E6:E12)</f>
        <v>771.79835651461474</v>
      </c>
      <c r="F5" s="17">
        <f>SUM(F6:F12)</f>
        <v>7720.3987348615046</v>
      </c>
      <c r="G5" s="18"/>
      <c r="H5" s="17"/>
      <c r="I5" s="17"/>
      <c r="J5" s="17">
        <f>SUM(J6:J12)</f>
        <v>0</v>
      </c>
      <c r="K5" s="17"/>
      <c r="L5" s="17"/>
      <c r="M5" s="17"/>
      <c r="N5" s="17">
        <f>SUM(N6:N12)</f>
        <v>2456.0706738641179</v>
      </c>
      <c r="O5" s="17">
        <f>B38*B39*B40</f>
        <v>0</v>
      </c>
      <c r="P5" s="17">
        <f>B46*B47*B48/1000-B46*B47*B48/1000/B49</f>
        <v>57.2</v>
      </c>
      <c r="R5" s="32"/>
    </row>
    <row r="6" spans="1:18">
      <c r="A6" s="32" t="s">
        <v>54</v>
      </c>
      <c r="B6" s="37">
        <f>B26</f>
        <v>9196.0730000000003</v>
      </c>
      <c r="C6" s="33"/>
      <c r="D6" s="37">
        <f>IF(ISERROR(TER_kantoor_gas_kWh/1000),0,TER_kantoor_gas_kWh/1000)*0.902</f>
        <v>13310.070752</v>
      </c>
      <c r="E6" s="33">
        <f>$C$26*'E Balans VL '!I12/100/3.6*1000000</f>
        <v>321.89873002122124</v>
      </c>
      <c r="F6" s="33">
        <f>$C$26*('E Balans VL '!L12+'E Balans VL '!N12)/100/3.6*1000000</f>
        <v>1394.3221045525975</v>
      </c>
      <c r="G6" s="34"/>
      <c r="H6" s="33"/>
      <c r="I6" s="33"/>
      <c r="J6" s="33">
        <f>$C$26*('E Balans VL '!D12+'E Balans VL '!E12)/100/3.6*1000000</f>
        <v>0</v>
      </c>
      <c r="K6" s="33"/>
      <c r="L6" s="33"/>
      <c r="M6" s="33"/>
      <c r="N6" s="33">
        <f>$C$26*'E Balans VL '!Y12/100/3.6*1000000</f>
        <v>71.082765998365161</v>
      </c>
      <c r="O6" s="33"/>
      <c r="P6" s="33"/>
      <c r="R6" s="32"/>
    </row>
    <row r="7" spans="1:18">
      <c r="A7" s="32" t="s">
        <v>53</v>
      </c>
      <c r="B7" s="37">
        <f t="shared" ref="B7:B12" si="0">B27</f>
        <v>5844.7269999999999</v>
      </c>
      <c r="C7" s="33"/>
      <c r="D7" s="37">
        <f>IF(ISERROR(TER_horeca_gas_kWh/1000),0,TER_horeca_gas_kWh/1000)*0.902</f>
        <v>7495.9645639999999</v>
      </c>
      <c r="E7" s="33">
        <f>$C$27*'E Balans VL '!I9/100/3.6*1000000</f>
        <v>329.72031874206107</v>
      </c>
      <c r="F7" s="33">
        <f>$C$27*('E Balans VL '!L9+'E Balans VL '!N9)/100/3.6*1000000</f>
        <v>1018.1837885345099</v>
      </c>
      <c r="G7" s="34"/>
      <c r="H7" s="33"/>
      <c r="I7" s="33"/>
      <c r="J7" s="33">
        <f>$C$27*('E Balans VL '!D9+'E Balans VL '!E9)/100/3.6*1000000</f>
        <v>0</v>
      </c>
      <c r="K7" s="33"/>
      <c r="L7" s="33"/>
      <c r="M7" s="33"/>
      <c r="N7" s="33">
        <f>$C$27*'E Balans VL '!Y9/100/3.6*1000000</f>
        <v>0</v>
      </c>
      <c r="O7" s="33"/>
      <c r="P7" s="33"/>
      <c r="R7" s="32"/>
    </row>
    <row r="8" spans="1:18">
      <c r="A8" s="6" t="s">
        <v>52</v>
      </c>
      <c r="B8" s="37">
        <f t="shared" si="0"/>
        <v>10997.808999999999</v>
      </c>
      <c r="C8" s="33"/>
      <c r="D8" s="37">
        <f>IF(ISERROR(TER_handel_gas_kWh/1000),0,TER_handel_gas_kWh/1000)*0.902</f>
        <v>4768.0910640000002</v>
      </c>
      <c r="E8" s="33">
        <f>$C$28*'E Balans VL '!I13/100/3.6*1000000</f>
        <v>56.461634044811085</v>
      </c>
      <c r="F8" s="33">
        <f>$C$28*('E Balans VL '!L13+'E Balans VL '!N13)/100/3.6*1000000</f>
        <v>1695.6922142065046</v>
      </c>
      <c r="G8" s="34"/>
      <c r="H8" s="33"/>
      <c r="I8" s="33"/>
      <c r="J8" s="33">
        <f>$C$28*('E Balans VL '!D13+'E Balans VL '!E13)/100/3.6*1000000</f>
        <v>0</v>
      </c>
      <c r="K8" s="33"/>
      <c r="L8" s="33"/>
      <c r="M8" s="33"/>
      <c r="N8" s="33">
        <f>$C$28*'E Balans VL '!Y13/100/3.6*1000000</f>
        <v>5.1438095156289041</v>
      </c>
      <c r="O8" s="33"/>
      <c r="P8" s="33"/>
      <c r="R8" s="32"/>
    </row>
    <row r="9" spans="1:18">
      <c r="A9" s="32" t="s">
        <v>51</v>
      </c>
      <c r="B9" s="37">
        <f t="shared" si="0"/>
        <v>1521.1569999999999</v>
      </c>
      <c r="C9" s="33"/>
      <c r="D9" s="37">
        <f>IF(ISERROR(TER_gezond_gas_kWh/1000),0,TER_gezond_gas_kWh/1000)*0.902</f>
        <v>1076.1653759999999</v>
      </c>
      <c r="E9" s="33">
        <f>$C$29*'E Balans VL '!I10/100/3.6*1000000</f>
        <v>0.63050874320810868</v>
      </c>
      <c r="F9" s="33">
        <f>$C$29*('E Balans VL '!L10+'E Balans VL '!N10)/100/3.6*1000000</f>
        <v>374.63915279848834</v>
      </c>
      <c r="G9" s="34"/>
      <c r="H9" s="33"/>
      <c r="I9" s="33"/>
      <c r="J9" s="33">
        <f>$C$29*('E Balans VL '!D10+'E Balans VL '!E10)/100/3.6*1000000</f>
        <v>0</v>
      </c>
      <c r="K9" s="33"/>
      <c r="L9" s="33"/>
      <c r="M9" s="33"/>
      <c r="N9" s="33">
        <f>$C$29*'E Balans VL '!Y10/100/3.6*1000000</f>
        <v>13.146561533898884</v>
      </c>
      <c r="O9" s="33"/>
      <c r="P9" s="33"/>
      <c r="R9" s="32"/>
    </row>
    <row r="10" spans="1:18">
      <c r="A10" s="32" t="s">
        <v>50</v>
      </c>
      <c r="B10" s="37">
        <f t="shared" si="0"/>
        <v>10259.484</v>
      </c>
      <c r="C10" s="33"/>
      <c r="D10" s="37">
        <f>IF(ISERROR(TER_ander_gas_kWh/1000),0,TER_ander_gas_kWh/1000)*0.902</f>
        <v>13244.12463</v>
      </c>
      <c r="E10" s="33">
        <f>$C$30*'E Balans VL '!I14/100/3.6*1000000</f>
        <v>62.542067593144729</v>
      </c>
      <c r="F10" s="33">
        <f>$C$30*('E Balans VL '!L14+'E Balans VL '!N14)/100/3.6*1000000</f>
        <v>2719.9297473887696</v>
      </c>
      <c r="G10" s="34"/>
      <c r="H10" s="33"/>
      <c r="I10" s="33"/>
      <c r="J10" s="33">
        <f>$C$30*('E Balans VL '!D14+'E Balans VL '!E14)/100/3.6*1000000</f>
        <v>0</v>
      </c>
      <c r="K10" s="33"/>
      <c r="L10" s="33"/>
      <c r="M10" s="33"/>
      <c r="N10" s="33">
        <f>$C$30*'E Balans VL '!Y14/100/3.6*1000000</f>
        <v>2364.589370868162</v>
      </c>
      <c r="O10" s="33"/>
      <c r="P10" s="33"/>
      <c r="R10" s="32"/>
    </row>
    <row r="11" spans="1:18">
      <c r="A11" s="32" t="s">
        <v>55</v>
      </c>
      <c r="B11" s="37">
        <f t="shared" si="0"/>
        <v>715.30200000000002</v>
      </c>
      <c r="C11" s="33"/>
      <c r="D11" s="37">
        <f>IF(ISERROR(TER_onderwijs_gas_kWh/1000),0,TER_onderwijs_gas_kWh/1000)*0.902</f>
        <v>2078.4145579999999</v>
      </c>
      <c r="E11" s="33">
        <f>$C$31*'E Balans VL '!I11/100/3.6*1000000</f>
        <v>0.54509737016862103</v>
      </c>
      <c r="F11" s="33">
        <f>$C$31*('E Balans VL '!L11+'E Balans VL '!N11)/100/3.6*1000000</f>
        <v>517.6317273806344</v>
      </c>
      <c r="G11" s="34"/>
      <c r="H11" s="33"/>
      <c r="I11" s="33"/>
      <c r="J11" s="33">
        <f>$C$31*('E Balans VL '!D11+'E Balans VL '!E11)/100/3.6*1000000</f>
        <v>0</v>
      </c>
      <c r="K11" s="33"/>
      <c r="L11" s="33"/>
      <c r="M11" s="33"/>
      <c r="N11" s="33">
        <f>$C$31*'E Balans VL '!Y11/100/3.6*1000000</f>
        <v>2.1081659480628807</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6142.875</v>
      </c>
      <c r="C13" s="248">
        <f ca="1">'lokale energieproductie'!O90+'lokale energieproductie'!O59</f>
        <v>8776.875</v>
      </c>
      <c r="D13" s="311">
        <f ca="1">('lokale energieproductie'!P59+'lokale energieproductie'!P90)*(-1)</f>
        <v>-2.5</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-17550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44677.427000000003</v>
      </c>
      <c r="C16" s="21">
        <f ca="1">C5+C13+C14</f>
        <v>8776.875</v>
      </c>
      <c r="D16" s="21">
        <f t="shared" ref="D16:N16" ca="1" si="1">MAX((D5+D13+D14),0)</f>
        <v>41970.330944000001</v>
      </c>
      <c r="E16" s="21">
        <f t="shared" si="1"/>
        <v>771.79835651461474</v>
      </c>
      <c r="F16" s="21">
        <f t="shared" ca="1" si="1"/>
        <v>7720.3987348615046</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0.17728922234635944</v>
      </c>
      <c r="C18" s="25">
        <f ca="1">'EF ele_warmte'!B22</f>
        <v>1.058578943861627E-5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7920.8262892662433</v>
      </c>
      <c r="C20" s="23">
        <f t="shared" ref="C20:P20" ca="1" si="2">C16*C18</f>
        <v>9.291015067905517E-2</v>
      </c>
      <c r="D20" s="23">
        <f t="shared" ca="1" si="2"/>
        <v>8478.0068506880016</v>
      </c>
      <c r="E20" s="23">
        <f t="shared" si="2"/>
        <v>175.19822692881755</v>
      </c>
      <c r="F20" s="23">
        <f t="shared" ca="1" si="2"/>
        <v>2061.3464622080219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9196.0730000000003</v>
      </c>
      <c r="C26" s="39">
        <f>IF(ISERROR(B26*3.6/1000000/'E Balans VL '!Z12*100),0,B26*3.6/1000000/'E Balans VL '!Z12*100)</f>
        <v>0.19351610574587444</v>
      </c>
      <c r="D26" s="238" t="s">
        <v>720</v>
      </c>
      <c r="F26" s="6"/>
    </row>
    <row r="27" spans="1:18">
      <c r="A27" s="232" t="s">
        <v>53</v>
      </c>
      <c r="B27" s="33">
        <f>IF(ISERROR(TER_horeca_ele_kWh/1000),0,TER_horeca_ele_kWh/1000)</f>
        <v>5844.7269999999999</v>
      </c>
      <c r="C27" s="39">
        <f>IF(ISERROR(B27*3.6/1000000/'E Balans VL '!Z9*100),0,B27*3.6/1000000/'E Balans VL '!Z9*100)</f>
        <v>0.49485661155922211</v>
      </c>
      <c r="D27" s="238" t="s">
        <v>720</v>
      </c>
      <c r="F27" s="6"/>
    </row>
    <row r="28" spans="1:18">
      <c r="A28" s="172" t="s">
        <v>52</v>
      </c>
      <c r="B28" s="33">
        <f>IF(ISERROR(TER_handel_ele_kWh/1000),0,TER_handel_ele_kWh/1000)</f>
        <v>10997.808999999999</v>
      </c>
      <c r="C28" s="39">
        <f>IF(ISERROR(B28*3.6/1000000/'E Balans VL '!Z13*100),0,B28*3.6/1000000/'E Balans VL '!Z13*100)</f>
        <v>0.30447282139846654</v>
      </c>
      <c r="D28" s="238" t="s">
        <v>720</v>
      </c>
      <c r="F28" s="6"/>
    </row>
    <row r="29" spans="1:18">
      <c r="A29" s="232" t="s">
        <v>51</v>
      </c>
      <c r="B29" s="33">
        <f>IF(ISERROR(TER_gezond_ele_kWh/1000),0,TER_gezond_ele_kWh/1000)</f>
        <v>1521.1569999999999</v>
      </c>
      <c r="C29" s="39">
        <f>IF(ISERROR(B29*3.6/1000000/'E Balans VL '!Z10*100),0,B29*3.6/1000000/'E Balans VL '!Z10*100)</f>
        <v>0.19773354600848692</v>
      </c>
      <c r="D29" s="238" t="s">
        <v>720</v>
      </c>
      <c r="F29" s="6"/>
    </row>
    <row r="30" spans="1:18">
      <c r="A30" s="232" t="s">
        <v>50</v>
      </c>
      <c r="B30" s="33">
        <f>IF(ISERROR(TER_ander_ele_kWh/1000),0,TER_ander_ele_kWh/1000)</f>
        <v>10259.484</v>
      </c>
      <c r="C30" s="39">
        <f>IF(ISERROR(B30*3.6/1000000/'E Balans VL '!Z14*100),0,B30*3.6/1000000/'E Balans VL '!Z14*100)</f>
        <v>0.79520409665565539</v>
      </c>
      <c r="D30" s="238" t="s">
        <v>720</v>
      </c>
      <c r="F30" s="6"/>
    </row>
    <row r="31" spans="1:18">
      <c r="A31" s="232" t="s">
        <v>55</v>
      </c>
      <c r="B31" s="33">
        <f>IF(ISERROR(TER_onderwijs_ele_kWh/1000),0,TER_onderwijs_ele_kWh/1000)</f>
        <v>715.30200000000002</v>
      </c>
      <c r="C31" s="39">
        <f>IF(ISERROR(B31*3.6/1000000/'E Balans VL '!Z11*100),0,B31*3.6/1000000/'E Balans VL '!Z11*100)</f>
        <v>0.13684946108814547</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32752.675999999996</v>
      </c>
      <c r="C5" s="17">
        <f>IF(ISERROR('Eigen informatie GS &amp; warmtenet'!B59),0,'Eigen informatie GS &amp; warmtenet'!B59)</f>
        <v>0</v>
      </c>
      <c r="D5" s="30">
        <f>SUM(D6:D15)</f>
        <v>32619.145064</v>
      </c>
      <c r="E5" s="17">
        <f>SUM(E6:E15)</f>
        <v>430.62574349411494</v>
      </c>
      <c r="F5" s="17">
        <f>SUM(F6:F15)</f>
        <v>9485.4413128629203</v>
      </c>
      <c r="G5" s="18"/>
      <c r="H5" s="17"/>
      <c r="I5" s="17"/>
      <c r="J5" s="17">
        <f>SUM(J6:J15)</f>
        <v>291.76383103807291</v>
      </c>
      <c r="K5" s="17"/>
      <c r="L5" s="17"/>
      <c r="M5" s="17"/>
      <c r="N5" s="17">
        <f>SUM(N6:N15)</f>
        <v>758.09145836308335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12376.427</v>
      </c>
      <c r="C8" s="33"/>
      <c r="D8" s="37">
        <f>IF( ISERROR(IND_metaal_Gas_kWH/1000),0,IND_metaal_Gas_kWH/1000)*0.902</f>
        <v>9501.0365999999995</v>
      </c>
      <c r="E8" s="33">
        <f>C30*'E Balans VL '!I18/100/3.6*1000000</f>
        <v>86.966421794249257</v>
      </c>
      <c r="F8" s="33">
        <f>C30*'E Balans VL '!L18/100/3.6*1000000+C30*'E Balans VL '!N18/100/3.6*1000000</f>
        <v>1358.8592753749156</v>
      </c>
      <c r="G8" s="34"/>
      <c r="H8" s="33"/>
      <c r="I8" s="33"/>
      <c r="J8" s="40">
        <f>C30*'E Balans VL '!D18/100/3.6*1000000+C30*'E Balans VL '!E18/100/3.6*1000000</f>
        <v>255.35236505892757</v>
      </c>
      <c r="K8" s="33"/>
      <c r="L8" s="33"/>
      <c r="M8" s="33"/>
      <c r="N8" s="33">
        <f>C30*'E Balans VL '!Y18/100/3.6*1000000</f>
        <v>46.387739745316452</v>
      </c>
      <c r="O8" s="33"/>
      <c r="P8" s="33"/>
      <c r="R8" s="32"/>
    </row>
    <row r="9" spans="1:18">
      <c r="A9" s="6" t="s">
        <v>33</v>
      </c>
      <c r="B9" s="37">
        <f t="shared" si="0"/>
        <v>9231.2240000000002</v>
      </c>
      <c r="C9" s="33"/>
      <c r="D9" s="37">
        <f>IF( ISERROR(IND_andere_gas_kWh/1000),0,IND_andere_gas_kWh/1000)*0.902</f>
        <v>8389.3089720000007</v>
      </c>
      <c r="E9" s="33">
        <f>C31*'E Balans VL '!I19/100/3.6*1000000</f>
        <v>155.04971569046384</v>
      </c>
      <c r="F9" s="33">
        <f>C31*'E Balans VL '!L19/100/3.6*1000000+C31*'E Balans VL '!N19/100/3.6*1000000</f>
        <v>7216.445151939025</v>
      </c>
      <c r="G9" s="34"/>
      <c r="H9" s="33"/>
      <c r="I9" s="33"/>
      <c r="J9" s="40">
        <f>C31*'E Balans VL '!D19/100/3.6*1000000+C31*'E Balans VL '!E19/100/3.6*1000000</f>
        <v>0.83257491723252719</v>
      </c>
      <c r="K9" s="33"/>
      <c r="L9" s="33"/>
      <c r="M9" s="33"/>
      <c r="N9" s="33">
        <f>C31*'E Balans VL '!Y19/100/3.6*1000000</f>
        <v>684.1818003505889</v>
      </c>
      <c r="O9" s="33"/>
      <c r="P9" s="33"/>
      <c r="R9" s="32"/>
    </row>
    <row r="10" spans="1:18">
      <c r="A10" s="6" t="s">
        <v>41</v>
      </c>
      <c r="B10" s="37">
        <f t="shared" si="0"/>
        <v>591.75900000000001</v>
      </c>
      <c r="C10" s="33"/>
      <c r="D10" s="37">
        <f>IF( ISERROR(IND_voed_gas_kWh/1000),0,IND_voed_gas_kWh/1000)*0.902</f>
        <v>3245.4880039999998</v>
      </c>
      <c r="E10" s="33">
        <f>C32*'E Balans VL '!I20/100/3.6*1000000</f>
        <v>5.3989632105593737</v>
      </c>
      <c r="F10" s="33">
        <f>C32*'E Balans VL '!L20/100/3.6*1000000+C32*'E Balans VL '!N20/100/3.6*1000000</f>
        <v>95.469235838327535</v>
      </c>
      <c r="G10" s="34"/>
      <c r="H10" s="33"/>
      <c r="I10" s="33"/>
      <c r="J10" s="40">
        <f>C32*'E Balans VL '!D20/100/3.6*1000000+C32*'E Balans VL '!E20/100/3.6*1000000</f>
        <v>2.4372515379804089</v>
      </c>
      <c r="K10" s="33"/>
      <c r="L10" s="33"/>
      <c r="M10" s="33"/>
      <c r="N10" s="33">
        <f>C32*'E Balans VL '!Y20/100/3.6*1000000</f>
        <v>8.6569675549324501</v>
      </c>
      <c r="O10" s="33"/>
      <c r="P10" s="33"/>
      <c r="R10" s="32"/>
    </row>
    <row r="11" spans="1:18">
      <c r="A11" s="6" t="s">
        <v>40</v>
      </c>
      <c r="B11" s="37">
        <f t="shared" si="0"/>
        <v>288.58999999999997</v>
      </c>
      <c r="C11" s="33"/>
      <c r="D11" s="37">
        <f>IF( ISERROR(IND_textiel_gas_kWh/1000),0,IND_textiel_gas_kWh/1000)*0.902</f>
        <v>343.95875799999999</v>
      </c>
      <c r="E11" s="33">
        <f>C33*'E Balans VL '!I21/100/3.6*1000000</f>
        <v>0.65822025884373703</v>
      </c>
      <c r="F11" s="33">
        <f>C33*'E Balans VL '!L21/100/3.6*1000000+C33*'E Balans VL '!N21/100/3.6*1000000</f>
        <v>6.1688789160191266</v>
      </c>
      <c r="G11" s="34"/>
      <c r="H11" s="33"/>
      <c r="I11" s="33"/>
      <c r="J11" s="40">
        <f>C33*'E Balans VL '!D21/100/3.6*1000000+C33*'E Balans VL '!E21/100/3.6*1000000</f>
        <v>0</v>
      </c>
      <c r="K11" s="33"/>
      <c r="L11" s="33"/>
      <c r="M11" s="33"/>
      <c r="N11" s="33">
        <f>C33*'E Balans VL '!Y21/100/3.6*1000000</f>
        <v>2.0472185264541682</v>
      </c>
      <c r="O11" s="33"/>
      <c r="P11" s="33"/>
      <c r="R11" s="32"/>
    </row>
    <row r="12" spans="1:18">
      <c r="A12" s="6" t="s">
        <v>37</v>
      </c>
      <c r="B12" s="37">
        <f t="shared" si="0"/>
        <v>5834.1930000000002</v>
      </c>
      <c r="C12" s="33"/>
      <c r="D12" s="37">
        <f>IF( ISERROR(IND_min_gas_kWh/1000),0,IND_min_gas_kWh/1000)*0.902</f>
        <v>9374.4941180000005</v>
      </c>
      <c r="E12" s="33">
        <f>C34*'E Balans VL '!I22/100/3.6*1000000</f>
        <v>144.70695364332775</v>
      </c>
      <c r="F12" s="33">
        <f>C34*'E Balans VL '!L22/100/3.6*1000000+C34*'E Balans VL '!N22/100/3.6*1000000</f>
        <v>619.93886862615716</v>
      </c>
      <c r="G12" s="34"/>
      <c r="H12" s="33"/>
      <c r="I12" s="33"/>
      <c r="J12" s="40">
        <f>C34*'E Balans VL '!D22/100/3.6*1000000+C34*'E Balans VL '!E22/100/3.6*1000000</f>
        <v>33.141639523932433</v>
      </c>
      <c r="K12" s="33"/>
      <c r="L12" s="33"/>
      <c r="M12" s="33"/>
      <c r="N12" s="33">
        <f>C34*'E Balans VL '!Y22/100/3.6*1000000</f>
        <v>0</v>
      </c>
      <c r="O12" s="33"/>
      <c r="P12" s="33"/>
      <c r="R12" s="32"/>
    </row>
    <row r="13" spans="1:18">
      <c r="A13" s="6" t="s">
        <v>39</v>
      </c>
      <c r="B13" s="37">
        <f t="shared" si="0"/>
        <v>833.66800000000001</v>
      </c>
      <c r="C13" s="33"/>
      <c r="D13" s="37">
        <f>IF( ISERROR(IND_papier_gas_kWh/1000),0,IND_papier_gas_kWh/1000)*0.902</f>
        <v>297.77816200000001</v>
      </c>
      <c r="E13" s="33">
        <f>C35*'E Balans VL '!I23/100/3.6*1000000</f>
        <v>25.649788680291483</v>
      </c>
      <c r="F13" s="33">
        <f>C35*'E Balans VL '!L23/100/3.6*1000000+C35*'E Balans VL '!N23/100/3.6*1000000</f>
        <v>177.01685137523612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3596.8150000000001</v>
      </c>
      <c r="C14" s="33"/>
      <c r="D14" s="37">
        <f>IF( ISERROR(IND_chemie_gas_kWh/1000),0,IND_chemie_gas_kWh/1000)*0.902</f>
        <v>0</v>
      </c>
      <c r="E14" s="33">
        <f>C36*'E Balans VL '!I24/100/3.6*1000000</f>
        <v>12.195680216379522</v>
      </c>
      <c r="F14" s="33">
        <f>C36*'E Balans VL '!L24/100/3.6*1000000+C36*'E Balans VL '!N24/100/3.6*1000000</f>
        <v>11.543050793239683</v>
      </c>
      <c r="G14" s="34"/>
      <c r="H14" s="33"/>
      <c r="I14" s="33"/>
      <c r="J14" s="40">
        <f>C36*'E Balans VL '!D24/100/3.6*1000000+C36*'E Balans VL '!E24/100/3.6*1000000</f>
        <v>0</v>
      </c>
      <c r="K14" s="33"/>
      <c r="L14" s="33"/>
      <c r="M14" s="33"/>
      <c r="N14" s="33">
        <f>C36*'E Balans VL '!Y24/100/3.6*1000000</f>
        <v>16.817732185791488</v>
      </c>
      <c r="O14" s="33"/>
      <c r="P14" s="33"/>
      <c r="R14" s="32"/>
    </row>
    <row r="15" spans="1:18">
      <c r="A15" s="6" t="s">
        <v>271</v>
      </c>
      <c r="B15" s="37">
        <f t="shared" si="0"/>
        <v>0</v>
      </c>
      <c r="C15" s="33"/>
      <c r="D15" s="37">
        <f>IF( ISERROR(IND_rest_gas_kWh/1000),0,IND_rest_gas_kWh/1000)*0.902</f>
        <v>1467.0804499999999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32752.675999999996</v>
      </c>
      <c r="C18" s="21">
        <f>C5+C16</f>
        <v>0</v>
      </c>
      <c r="D18" s="21">
        <f>MAX((D5+D16),0)</f>
        <v>32619.145064</v>
      </c>
      <c r="E18" s="21">
        <f>MAX((E5+E16),0)</f>
        <v>430.62574349411494</v>
      </c>
      <c r="F18" s="21">
        <f>MAX((F5+F16),0)</f>
        <v>9485.4413128629203</v>
      </c>
      <c r="G18" s="21"/>
      <c r="H18" s="21"/>
      <c r="I18" s="21"/>
      <c r="J18" s="21">
        <f>MAX((J5+J16),0)</f>
        <v>291.76383103807291</v>
      </c>
      <c r="K18" s="21"/>
      <c r="L18" s="21">
        <f>MAX((L5+L16),0)</f>
        <v>0</v>
      </c>
      <c r="M18" s="21"/>
      <c r="N18" s="21">
        <f>MAX((N5+N16),0)</f>
        <v>758.09145836308335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0.17728922234635944</v>
      </c>
      <c r="C20" s="25">
        <f ca="1">'EF ele_warmte'!B22</f>
        <v>1.058578943861627E-5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5806.6964578022698</v>
      </c>
      <c r="C22" s="23">
        <f ca="1">C18*C20</f>
        <v>0</v>
      </c>
      <c r="D22" s="23">
        <f>D18*D20</f>
        <v>6589.0673029280006</v>
      </c>
      <c r="E22" s="23">
        <f>E18*E20</f>
        <v>97.75204377316409</v>
      </c>
      <c r="F22" s="23">
        <f>F18*F20</f>
        <v>2532.6128305344</v>
      </c>
      <c r="G22" s="23"/>
      <c r="H22" s="23"/>
      <c r="I22" s="23"/>
      <c r="J22" s="23">
        <f>J18*J20</f>
        <v>103.28439618747781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12376.427</v>
      </c>
      <c r="C30" s="39">
        <f>IF(ISERROR(B30*3.6/1000000/'E Balans VL '!Z18*100),0,B30*3.6/1000000/'E Balans VL '!Z18*100)</f>
        <v>0.82390630306964618</v>
      </c>
      <c r="D30" s="238" t="s">
        <v>720</v>
      </c>
    </row>
    <row r="31" spans="1:18">
      <c r="A31" s="6" t="s">
        <v>33</v>
      </c>
      <c r="B31" s="37">
        <f>IF( ISERROR(IND_ander_ele_kWh/1000),0,IND_ander_ele_kWh/1000)</f>
        <v>9231.2240000000002</v>
      </c>
      <c r="C31" s="39">
        <f>IF(ISERROR(B31*3.6/1000000/'E Balans VL '!Z19*100),0,B31*3.6/1000000/'E Balans VL '!Z19*100)</f>
        <v>0.40918357706991099</v>
      </c>
      <c r="D31" s="238" t="s">
        <v>720</v>
      </c>
    </row>
    <row r="32" spans="1:18">
      <c r="A32" s="172" t="s">
        <v>41</v>
      </c>
      <c r="B32" s="37">
        <f>IF( ISERROR(IND_voed_ele_kWh/1000),0,IND_voed_ele_kWh/1000)</f>
        <v>591.75900000000001</v>
      </c>
      <c r="C32" s="39">
        <f>IF(ISERROR(B32*3.6/1000000/'E Balans VL '!Z20*100),0,B32*3.6/1000000/'E Balans VL '!Z20*100)</f>
        <v>1.9766448136866795E-2</v>
      </c>
      <c r="D32" s="238" t="s">
        <v>720</v>
      </c>
    </row>
    <row r="33" spans="1:5">
      <c r="A33" s="172" t="s">
        <v>40</v>
      </c>
      <c r="B33" s="37">
        <f>IF( ISERROR(IND_textiel_ele_kWh/1000),0,IND_textiel_ele_kWh/1000)</f>
        <v>288.58999999999997</v>
      </c>
      <c r="C33" s="39">
        <f>IF(ISERROR(B33*3.6/1000000/'E Balans VL '!Z21*100),0,B33*3.6/1000000/'E Balans VL '!Z21*100)</f>
        <v>3.7993539000077362E-2</v>
      </c>
      <c r="D33" s="238" t="s">
        <v>720</v>
      </c>
    </row>
    <row r="34" spans="1:5">
      <c r="A34" s="172" t="s">
        <v>37</v>
      </c>
      <c r="B34" s="37">
        <f>IF( ISERROR(IND_min_ele_kWh/1000),0,IND_min_ele_kWh/1000)</f>
        <v>5834.1930000000002</v>
      </c>
      <c r="C34" s="39">
        <f>IF(ISERROR(B34*3.6/1000000/'E Balans VL '!Z22*100),0,B34*3.6/1000000/'E Balans VL '!Z22*100)</f>
        <v>1.134686453532705</v>
      </c>
      <c r="D34" s="238" t="s">
        <v>720</v>
      </c>
    </row>
    <row r="35" spans="1:5">
      <c r="A35" s="172" t="s">
        <v>39</v>
      </c>
      <c r="B35" s="37">
        <f>IF( ISERROR(IND_papier_ele_kWh/1000),0,IND_papier_ele_kWh/1000)</f>
        <v>833.66800000000001</v>
      </c>
      <c r="C35" s="39">
        <f>IF(ISERROR(B35*3.6/1000000/'E Balans VL '!Z22*100),0,B35*3.6/1000000/'E Balans VL '!Z22*100)</f>
        <v>0.16213926867755368</v>
      </c>
      <c r="D35" s="238" t="s">
        <v>720</v>
      </c>
    </row>
    <row r="36" spans="1:5">
      <c r="A36" s="172" t="s">
        <v>34</v>
      </c>
      <c r="B36" s="37">
        <f>IF( ISERROR(IND_chemie_ele_kWh/1000),0,IND_chemie_ele_kWh/1000)</f>
        <v>3596.8150000000001</v>
      </c>
      <c r="C36" s="39">
        <f>IF(ISERROR(B36*3.6/1000000/'E Balans VL '!Z24*100),0,B36*3.6/1000000/'E Balans VL '!Z24*100)</f>
        <v>8.4462903855745022E-2</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240.523</v>
      </c>
      <c r="C5" s="17">
        <f>'Eigen informatie GS &amp; warmtenet'!B60</f>
        <v>0</v>
      </c>
      <c r="D5" s="30">
        <f>IF(ISERROR(SUM(LB_lb_gas_kWh,LB_rest_gas_kWh,onbekend_gas_kWh)/1000),0,SUM(LB_lb_gas_kWh,LB_rest_gas_kWh,onbekend_gas_kWh)/1000)*0.902</f>
        <v>39.761062000000003</v>
      </c>
      <c r="E5" s="17">
        <f>B17*'E Balans VL '!I25/3.6*1000000/100</f>
        <v>2.5188089271060523</v>
      </c>
      <c r="F5" s="17">
        <f>B17*('E Balans VL '!L25/3.6*1000000+'E Balans VL '!N25/3.6*1000000)/100</f>
        <v>1235.3644250984926</v>
      </c>
      <c r="G5" s="18"/>
      <c r="H5" s="17"/>
      <c r="I5" s="17"/>
      <c r="J5" s="17">
        <f>('E Balans VL '!D25+'E Balans VL '!E25)/3.6*1000000*landbouw!B17/100</f>
        <v>21.480859744426976</v>
      </c>
      <c r="K5" s="17"/>
      <c r="L5" s="17">
        <f>L6*(-1)</f>
        <v>0</v>
      </c>
      <c r="M5" s="17"/>
      <c r="N5" s="17">
        <f>N6*(-1)</f>
        <v>38571.428571428572</v>
      </c>
      <c r="O5" s="17"/>
      <c r="P5" s="17"/>
      <c r="R5" s="32"/>
    </row>
    <row r="6" spans="1:18">
      <c r="A6" s="16" t="s">
        <v>497</v>
      </c>
      <c r="B6" s="17" t="s">
        <v>212</v>
      </c>
      <c r="C6" s="17">
        <f>'lokale energieproductie'!O91+'lokale energieproductie'!O60</f>
        <v>19285.714285714286</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-38571.428571428572</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240.523</v>
      </c>
      <c r="C8" s="21">
        <f>C5+C6</f>
        <v>19285.714285714286</v>
      </c>
      <c r="D8" s="21">
        <f>MAX((D5+D6),0)</f>
        <v>39.761062000000003</v>
      </c>
      <c r="E8" s="21">
        <f>MAX((E5+E6),0)</f>
        <v>2.5188089271060523</v>
      </c>
      <c r="F8" s="21">
        <f>MAX((F5+F6),0)</f>
        <v>1235.3644250984926</v>
      </c>
      <c r="G8" s="21"/>
      <c r="H8" s="21"/>
      <c r="I8" s="21"/>
      <c r="J8" s="21">
        <f>MAX((J5+J6),0)</f>
        <v>21.480859744426976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0.17728922234635944</v>
      </c>
      <c r="C10" s="31">
        <f ca="1">'EF ele_warmte'!B22</f>
        <v>1.058578943861627E-5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42.642135626413413</v>
      </c>
      <c r="C12" s="23">
        <f ca="1">C8*C10</f>
        <v>0.20415451060188522</v>
      </c>
      <c r="D12" s="23">
        <f>D8*D10</f>
        <v>8.0317345240000009</v>
      </c>
      <c r="E12" s="23">
        <f>E8*E10</f>
        <v>0.57176962645307394</v>
      </c>
      <c r="F12" s="23">
        <f>F8*F10</f>
        <v>329.84230150129753</v>
      </c>
      <c r="G12" s="23"/>
      <c r="H12" s="23"/>
      <c r="I12" s="23"/>
      <c r="J12" s="23">
        <f>J8*J10</f>
        <v>7.6042243495271489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3.702113265191026E-2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75.908613662549726</v>
      </c>
      <c r="C26" s="248">
        <f>B26*'GWP N2O_CH4'!B5</f>
        <v>1594.0808869135442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28.466577413719289</v>
      </c>
      <c r="C27" s="248">
        <f>B27*'GWP N2O_CH4'!B5</f>
        <v>597.79812568810507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1.7982073890769907</v>
      </c>
      <c r="C28" s="248">
        <f>B28*'GWP N2O_CH4'!B4</f>
        <v>557.44429061386711</v>
      </c>
      <c r="D28" s="50"/>
    </row>
    <row r="29" spans="1:4">
      <c r="A29" s="41" t="s">
        <v>278</v>
      </c>
      <c r="B29" s="248">
        <f>B34*'ha_N2O bodem landbouw'!B4</f>
        <v>22.942509032812527</v>
      </c>
      <c r="C29" s="248">
        <f>B29*'GWP N2O_CH4'!B4</f>
        <v>7112.1778001718831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3.7915509376282436E-3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5.8235918128537202E-6</v>
      </c>
      <c r="C5" s="446" t="s">
        <v>212</v>
      </c>
      <c r="D5" s="431">
        <f>SUM(D6:D11)</f>
        <v>2.9432044332491083E-5</v>
      </c>
      <c r="E5" s="431">
        <f>SUM(E6:E11)</f>
        <v>3.1178111648223717E-3</v>
      </c>
      <c r="F5" s="444" t="s">
        <v>212</v>
      </c>
      <c r="G5" s="431">
        <f>SUM(G6:G11)</f>
        <v>0.52969822012020384</v>
      </c>
      <c r="H5" s="431">
        <f>SUM(H6:H11)</f>
        <v>9.8785206939235828E-2</v>
      </c>
      <c r="I5" s="446" t="s">
        <v>212</v>
      </c>
      <c r="J5" s="446" t="s">
        <v>212</v>
      </c>
      <c r="K5" s="446" t="s">
        <v>212</v>
      </c>
      <c r="L5" s="446" t="s">
        <v>212</v>
      </c>
      <c r="M5" s="431">
        <f>SUM(M6:M11)</f>
        <v>2.744389374009298E-2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3.416251146020191E-6</v>
      </c>
      <c r="C6" s="432"/>
      <c r="D6" s="432">
        <f>vkm_2011_GW_PW*SUMIFS(TableVerdeelsleutelVkm[CNG],TableVerdeelsleutelVkm[Voertuigtype],"Lichte voertuigen")*SUMIFS(TableECFTransport[EnergieConsumptieFactor (PJ per km)],TableECFTransport[Index],CONCATENATE($A6,"_CNG_CNG"))</f>
        <v>1.4727061585898275E-5</v>
      </c>
      <c r="E6" s="434">
        <f>vkm_2011_GW_PW*SUMIFS(TableVerdeelsleutelVkm[LPG],TableVerdeelsleutelVkm[Voertuigtype],"Lichte voertuigen")*SUMIFS(TableECFTransport[EnergieConsumptieFactor (PJ per km)],TableECFTransport[Index],CONCATENATE($A6,"_LPG_LPG"))</f>
        <v>1.5322603946593813E-3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0.18847223502521401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4.9620833768229407E-2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1.043437973644378E-2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8.6377256604200175E-2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2.9617564304026834E-5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3.7313356423878613E-3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1.2097719354413207E-6</v>
      </c>
      <c r="C8" s="432"/>
      <c r="D8" s="434">
        <f>vkm_2011_NGW_PW*SUMIFS(TableVerdeelsleutelVkm[CNG],TableVerdeelsleutelVkm[Voertuigtype],"Lichte voertuigen")*SUMIFS(TableECFTransport[EnergieConsumptieFactor (PJ per km)],TableECFTransport[Index],CONCATENATE($A8,"_CNG_CNG"))</f>
        <v>9.3561710510605328E-6</v>
      </c>
      <c r="E8" s="434">
        <f>vkm_2011_NGW_PW*SUMIFS(TableVerdeelsleutelVkm[LPG],TableVerdeelsleutelVkm[Voertuigtype],"Lichte voertuigen")*SUMIFS(TableECFTransport[EnergieConsumptieFactor (PJ per km)],TableECFTransport[Index],CONCATENATE($A8,"_LPG_LPG"))</f>
        <v>8.8883404961312136E-4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0.10369609387202318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3.009213988087607E-2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5.8700534898944862E-3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4.462482016152727E-3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1.3292561583946946E-6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1.9276156868276533E-4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1.1975687313922088E-6</v>
      </c>
      <c r="C10" s="432"/>
      <c r="D10" s="434">
        <f>vkm_2011_SW_PW*SUMIFS(TableVerdeelsleutelVkm[CNG],TableVerdeelsleutelVkm[Voertuigtype],"Lichte voertuigen")*SUMIFS(TableECFTransport[EnergieConsumptieFactor (PJ per km)],TableECFTransport[Index],CONCATENATE($A10,"_CNG_CNG"))</f>
        <v>5.3488116955322731E-6</v>
      </c>
      <c r="E10" s="434">
        <f>vkm_2011_SW_PW*SUMIFS(TableVerdeelsleutelVkm[LPG],TableVerdeelsleutelVkm[Voertuigtype],"Lichte voertuigen")*SUMIFS(TableECFTransport[EnergieConsumptieFactor (PJ per km)],TableECFTransport[Index],CONCATENATE($A10,"_LPG_LPG"))</f>
        <v>6.967167205498688E-4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7.8785702469249555E-2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1.9016443926285494E-2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4.2819461579737834E-3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6.7904450133364228E-2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2.4842543382438749E-5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2.933417144710303E-3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1.6176643924593668</v>
      </c>
      <c r="C14" s="21"/>
      <c r="D14" s="21">
        <f t="shared" ref="D14:M14" si="0">((D5)*10^9/3600)+D12</f>
        <v>8.1755678701364118</v>
      </c>
      <c r="E14" s="21">
        <f t="shared" si="0"/>
        <v>866.05865689510324</v>
      </c>
      <c r="F14" s="21"/>
      <c r="G14" s="21">
        <f t="shared" si="0"/>
        <v>147138.3944778344</v>
      </c>
      <c r="H14" s="21">
        <f t="shared" si="0"/>
        <v>27440.335260898839</v>
      </c>
      <c r="I14" s="21"/>
      <c r="J14" s="21"/>
      <c r="K14" s="21"/>
      <c r="L14" s="21"/>
      <c r="M14" s="21">
        <f t="shared" si="0"/>
        <v>7623.3038166924953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0.17728922234635944</v>
      </c>
      <c r="C16" s="56">
        <f ca="1">'EF ele_warmte'!B22</f>
        <v>1.058578943861627E-5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0.2867944621565171</v>
      </c>
      <c r="C18" s="23"/>
      <c r="D18" s="23">
        <f t="shared" ref="D18:M18" si="1">D14*D16</f>
        <v>1.6514647097675552</v>
      </c>
      <c r="E18" s="23">
        <f t="shared" si="1"/>
        <v>196.59531511518844</v>
      </c>
      <c r="F18" s="23"/>
      <c r="G18" s="23">
        <f t="shared" si="1"/>
        <v>39285.951325581787</v>
      </c>
      <c r="H18" s="23">
        <f t="shared" si="1"/>
        <v>6832.6434799638109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1.5682831571551203E-2</v>
      </c>
      <c r="H50" s="322">
        <f t="shared" si="2"/>
        <v>0</v>
      </c>
      <c r="I50" s="322">
        <f t="shared" si="2"/>
        <v>0</v>
      </c>
      <c r="J50" s="322">
        <f t="shared" si="2"/>
        <v>0</v>
      </c>
      <c r="K50" s="322">
        <f t="shared" si="2"/>
        <v>0</v>
      </c>
      <c r="L50" s="322">
        <f t="shared" si="2"/>
        <v>0</v>
      </c>
      <c r="M50" s="322">
        <f t="shared" si="2"/>
        <v>6.6849097620096413E-4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1.5682831571551203E-2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6.6849097620096413E-4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4356.342103208668</v>
      </c>
      <c r="H54" s="21">
        <f t="shared" si="3"/>
        <v>0</v>
      </c>
      <c r="I54" s="21">
        <f t="shared" si="3"/>
        <v>0</v>
      </c>
      <c r="J54" s="21">
        <f t="shared" si="3"/>
        <v>0</v>
      </c>
      <c r="K54" s="21">
        <f t="shared" si="3"/>
        <v>0</v>
      </c>
      <c r="L54" s="21">
        <f t="shared" si="3"/>
        <v>0</v>
      </c>
      <c r="M54" s="21">
        <f t="shared" si="3"/>
        <v>185.69193783360117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0.17728922234635944</v>
      </c>
      <c r="C56" s="56">
        <f ca="1">'EF ele_warmte'!B22</f>
        <v>1.058578943861627E-5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1163.1433415567144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6944.5752320566016</v>
      </c>
      <c r="C6" s="1124"/>
      <c r="D6" s="1127"/>
      <c r="E6" s="1127"/>
      <c r="F6" s="1130"/>
      <c r="G6" s="1133"/>
      <c r="H6" s="1121"/>
      <c r="I6" s="1127"/>
      <c r="J6" s="1127"/>
      <c r="K6" s="1127"/>
      <c r="L6" s="1157"/>
      <c r="M6" s="559"/>
      <c r="N6" s="1169"/>
      <c r="O6" s="1170"/>
      <c r="Q6" s="557"/>
      <c r="R6" s="1154"/>
      <c r="S6" s="1154"/>
    </row>
    <row r="7" spans="1:19" s="547" customFormat="1">
      <c r="A7" s="560" t="s">
        <v>253</v>
      </c>
      <c r="B7" s="561">
        <f>N57</f>
        <v>19642.875</v>
      </c>
      <c r="C7" s="562">
        <f>B100</f>
        <v>1.0293828649458394</v>
      </c>
      <c r="D7" s="563"/>
      <c r="E7" s="563">
        <f>E100</f>
        <v>0</v>
      </c>
      <c r="F7" s="564"/>
      <c r="G7" s="565"/>
      <c r="H7" s="563">
        <f>I100</f>
        <v>0</v>
      </c>
      <c r="I7" s="563">
        <f>G100+F100</f>
        <v>0</v>
      </c>
      <c r="J7" s="563">
        <f>H100+D100+C100</f>
        <v>23108.174771084174</v>
      </c>
      <c r="K7" s="563"/>
      <c r="L7" s="566"/>
      <c r="M7" s="567">
        <f>C7*$C$11+D7*$D$11+E7*$E$11+F7*$F$11+G7*$G$11+H7*$H$11+I7*$I$11+J7*$J$11</f>
        <v>0.20793533871905959</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26587.450232056603</v>
      </c>
      <c r="C9" s="578">
        <f t="shared" ref="C9:L9" si="0">SUM(C7:C8)</f>
        <v>1.0293828649458394</v>
      </c>
      <c r="D9" s="578">
        <f t="shared" si="0"/>
        <v>0</v>
      </c>
      <c r="E9" s="578">
        <f t="shared" si="0"/>
        <v>0</v>
      </c>
      <c r="F9" s="578">
        <f t="shared" si="0"/>
        <v>0</v>
      </c>
      <c r="G9" s="578">
        <f t="shared" si="0"/>
        <v>0</v>
      </c>
      <c r="H9" s="578">
        <f t="shared" si="0"/>
        <v>0</v>
      </c>
      <c r="I9" s="578">
        <f t="shared" si="0"/>
        <v>0</v>
      </c>
      <c r="J9" s="578">
        <f t="shared" si="0"/>
        <v>23108.174771084174</v>
      </c>
      <c r="K9" s="578">
        <f t="shared" si="0"/>
        <v>0</v>
      </c>
      <c r="L9" s="578">
        <f t="shared" si="0"/>
        <v>0</v>
      </c>
      <c r="M9" s="579">
        <f>SUM(M4:M8)</f>
        <v>0.20793533871905959</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28062.589285714286</v>
      </c>
      <c r="C16" s="594">
        <f>B101</f>
        <v>1.4706171350541601</v>
      </c>
      <c r="D16" s="595"/>
      <c r="E16" s="595">
        <f>E101</f>
        <v>0</v>
      </c>
      <c r="F16" s="596"/>
      <c r="G16" s="597"/>
      <c r="H16" s="594">
        <f>I101</f>
        <v>0</v>
      </c>
      <c r="I16" s="595">
        <f>G101+F101</f>
        <v>0</v>
      </c>
      <c r="J16" s="595">
        <f>H101+D101+C101</f>
        <v>33013.253800344391</v>
      </c>
      <c r="K16" s="595"/>
      <c r="L16" s="598"/>
      <c r="M16" s="599">
        <f>C16*$C$21+E16*$E$21+H16*$H$21+I16*$I$21+J16*$J$21+D16*$D$21+F16*$F$21+G16*$G$21+K16*$K$21+L16*$L$21</f>
        <v>0.29706466128094039</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28062.589285714286</v>
      </c>
      <c r="C19" s="577">
        <f>SUM(C16:C18)</f>
        <v>1.4706171350541601</v>
      </c>
      <c r="D19" s="577">
        <f t="shared" ref="D19:M19" si="1">SUM(D16:D18)</f>
        <v>0</v>
      </c>
      <c r="E19" s="577">
        <f t="shared" si="1"/>
        <v>0</v>
      </c>
      <c r="F19" s="577">
        <f t="shared" si="1"/>
        <v>0</v>
      </c>
      <c r="G19" s="577">
        <f t="shared" si="1"/>
        <v>0</v>
      </c>
      <c r="H19" s="577">
        <f t="shared" si="1"/>
        <v>0</v>
      </c>
      <c r="I19" s="577">
        <f t="shared" si="1"/>
        <v>0</v>
      </c>
      <c r="J19" s="577">
        <f t="shared" si="1"/>
        <v>33013.253800344391</v>
      </c>
      <c r="K19" s="577">
        <f t="shared" si="1"/>
        <v>0</v>
      </c>
      <c r="L19" s="577">
        <f t="shared" si="1"/>
        <v>0</v>
      </c>
      <c r="M19" s="604">
        <f t="shared" si="1"/>
        <v>0.29706466128094039</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72039</v>
      </c>
      <c r="C27" s="839">
        <v>3530</v>
      </c>
      <c r="D27" s="656" t="s">
        <v>894</v>
      </c>
      <c r="E27" s="655" t="s">
        <v>895</v>
      </c>
      <c r="F27" s="655" t="s">
        <v>896</v>
      </c>
      <c r="G27" s="655" t="s">
        <v>897</v>
      </c>
      <c r="H27" s="655" t="s">
        <v>897</v>
      </c>
      <c r="I27" s="655" t="s">
        <v>895</v>
      </c>
      <c r="J27" s="838">
        <v>40634</v>
      </c>
      <c r="K27" s="838">
        <v>40848</v>
      </c>
      <c r="L27" s="655" t="s">
        <v>898</v>
      </c>
      <c r="M27" s="655">
        <v>1</v>
      </c>
      <c r="N27" s="655">
        <v>0.375</v>
      </c>
      <c r="O27" s="655">
        <v>1.875</v>
      </c>
      <c r="P27" s="655">
        <v>2.5</v>
      </c>
      <c r="Q27" s="655">
        <v>0</v>
      </c>
      <c r="R27" s="655">
        <v>0</v>
      </c>
      <c r="S27" s="655">
        <v>0</v>
      </c>
      <c r="T27" s="655">
        <v>0</v>
      </c>
      <c r="U27" s="655">
        <v>0</v>
      </c>
      <c r="V27" s="655">
        <v>0</v>
      </c>
      <c r="W27" s="655">
        <v>0</v>
      </c>
      <c r="X27" s="655">
        <v>1600</v>
      </c>
      <c r="Y27" s="655" t="s">
        <v>50</v>
      </c>
      <c r="Z27" s="657" t="s">
        <v>156</v>
      </c>
    </row>
    <row r="28" spans="1:26" s="609" customFormat="1" ht="63.75">
      <c r="A28" s="608"/>
      <c r="B28" s="839">
        <v>72039</v>
      </c>
      <c r="C28" s="839">
        <v>3530</v>
      </c>
      <c r="D28" s="656" t="s">
        <v>899</v>
      </c>
      <c r="E28" s="655" t="s">
        <v>900</v>
      </c>
      <c r="F28" s="655" t="s">
        <v>901</v>
      </c>
      <c r="G28" s="655" t="s">
        <v>902</v>
      </c>
      <c r="H28" s="655" t="s">
        <v>903</v>
      </c>
      <c r="I28" s="655" t="s">
        <v>904</v>
      </c>
      <c r="J28" s="838">
        <v>39776</v>
      </c>
      <c r="K28" s="838">
        <v>39776</v>
      </c>
      <c r="L28" s="655" t="s">
        <v>898</v>
      </c>
      <c r="M28" s="655">
        <v>1365</v>
      </c>
      <c r="N28" s="655">
        <v>6142.5</v>
      </c>
      <c r="O28" s="655">
        <v>8775</v>
      </c>
      <c r="P28" s="655">
        <v>0</v>
      </c>
      <c r="Q28" s="655">
        <v>0</v>
      </c>
      <c r="R28" s="655">
        <v>17550</v>
      </c>
      <c r="S28" s="655">
        <v>0</v>
      </c>
      <c r="T28" s="655">
        <v>0</v>
      </c>
      <c r="U28" s="655">
        <v>0</v>
      </c>
      <c r="V28" s="655">
        <v>0</v>
      </c>
      <c r="W28" s="655">
        <v>0</v>
      </c>
      <c r="X28" s="655">
        <v>1600</v>
      </c>
      <c r="Y28" s="655" t="s">
        <v>50</v>
      </c>
      <c r="Z28" s="657" t="s">
        <v>156</v>
      </c>
    </row>
    <row r="29" spans="1:26" s="609" customFormat="1" ht="25.5">
      <c r="A29" s="608"/>
      <c r="B29" s="839">
        <v>72039</v>
      </c>
      <c r="C29" s="839">
        <v>3530</v>
      </c>
      <c r="D29" s="656" t="s">
        <v>905</v>
      </c>
      <c r="E29" s="655" t="s">
        <v>906</v>
      </c>
      <c r="F29" s="655" t="s">
        <v>907</v>
      </c>
      <c r="G29" s="655" t="s">
        <v>902</v>
      </c>
      <c r="H29" s="655" t="s">
        <v>903</v>
      </c>
      <c r="I29" s="655" t="s">
        <v>906</v>
      </c>
      <c r="J29" s="838">
        <v>39532</v>
      </c>
      <c r="K29" s="838">
        <v>39609</v>
      </c>
      <c r="L29" s="655" t="s">
        <v>898</v>
      </c>
      <c r="M29" s="655">
        <v>3000</v>
      </c>
      <c r="N29" s="655">
        <v>13500</v>
      </c>
      <c r="O29" s="655">
        <v>19285.714285714286</v>
      </c>
      <c r="P29" s="655">
        <v>0</v>
      </c>
      <c r="Q29" s="655">
        <v>38571.428571428572</v>
      </c>
      <c r="R29" s="655">
        <v>0</v>
      </c>
      <c r="S29" s="655">
        <v>0</v>
      </c>
      <c r="T29" s="655">
        <v>0</v>
      </c>
      <c r="U29" s="655">
        <v>0</v>
      </c>
      <c r="V29" s="655">
        <v>0</v>
      </c>
      <c r="W29" s="655">
        <v>0</v>
      </c>
      <c r="X29" s="655">
        <v>10</v>
      </c>
      <c r="Y29" s="655" t="s">
        <v>112</v>
      </c>
      <c r="Z29" s="657" t="s">
        <v>112</v>
      </c>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4366</v>
      </c>
      <c r="N57" s="613">
        <f>SUM(N27:N56)</f>
        <v>19642.875</v>
      </c>
      <c r="O57" s="613">
        <f t="shared" ref="O57:W57" si="2">SUM(O27:O56)</f>
        <v>28062.589285714286</v>
      </c>
      <c r="P57" s="613">
        <f t="shared" si="2"/>
        <v>2.5</v>
      </c>
      <c r="Q57" s="613">
        <f t="shared" si="2"/>
        <v>38571.428571428572</v>
      </c>
      <c r="R57" s="613">
        <f t="shared" si="2"/>
        <v>17550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1366</v>
      </c>
      <c r="N59" s="613">
        <f ca="1">SUMIF($Z$27:AB56,"tertiair",N27:N56)</f>
        <v>6142.875</v>
      </c>
      <c r="O59" s="613">
        <f ca="1">SUMIF($Z$27:AC56,"tertiair",O27:O56)</f>
        <v>8776.875</v>
      </c>
      <c r="P59" s="613">
        <f ca="1">SUMIF($Z$27:AD56,"tertiair",P27:P56)</f>
        <v>2.5</v>
      </c>
      <c r="Q59" s="613">
        <f ca="1">SUMIF($Z$27:AE56,"tertiair",Q27:Q56)</f>
        <v>0</v>
      </c>
      <c r="R59" s="613">
        <f ca="1">SUMIF($Z$27:AF56,"tertiair",R27:R56)</f>
        <v>17550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3000</v>
      </c>
      <c r="N60" s="618">
        <f t="shared" ref="N60:W60" si="4">SUMIF($Z$27:$Z$56,"landbouw",N27:N56)</f>
        <v>13500</v>
      </c>
      <c r="O60" s="618">
        <f t="shared" si="4"/>
        <v>19285.714285714286</v>
      </c>
      <c r="P60" s="618">
        <f t="shared" si="4"/>
        <v>0</v>
      </c>
      <c r="Q60" s="618">
        <f t="shared" si="4"/>
        <v>38571.428571428572</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0.5882468540216641</v>
      </c>
      <c r="C97" s="638">
        <f>IF(ISERROR(N57/(O57+N57)),0,N57/(N57+O57))</f>
        <v>0.41175314597833579</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1.0293828649458394</v>
      </c>
      <c r="C100" s="647">
        <f t="shared" si="9"/>
        <v>15881.907059164381</v>
      </c>
      <c r="D100" s="647">
        <f t="shared" si="9"/>
        <v>7226.2677119197933</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1.4706171350541601</v>
      </c>
      <c r="C101" s="650">
        <f t="shared" ref="C101:H101" si="10">$B$97*Q57</f>
        <v>22689.521512264186</v>
      </c>
      <c r="D101" s="650">
        <f t="shared" si="10"/>
        <v>10323.732288080206</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46147.520000000004</v>
      </c>
      <c r="D10" s="702">
        <f ca="1">tertiair!C16</f>
        <v>8776.875</v>
      </c>
      <c r="E10" s="702">
        <f ca="1">tertiair!D16</f>
        <v>41970.330944000001</v>
      </c>
      <c r="F10" s="702">
        <f>tertiair!E16</f>
        <v>771.79835651461474</v>
      </c>
      <c r="G10" s="702">
        <f ca="1">tertiair!F16</f>
        <v>7720.3987348615046</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0</v>
      </c>
      <c r="Q10" s="703">
        <f>tertiair!P16</f>
        <v>57.2</v>
      </c>
      <c r="R10" s="705">
        <f ca="1">SUM(C10:Q10)</f>
        <v>105444.12303537612</v>
      </c>
      <c r="S10" s="67"/>
    </row>
    <row r="11" spans="1:19" s="457" customFormat="1">
      <c r="A11" s="858" t="s">
        <v>226</v>
      </c>
      <c r="B11" s="863"/>
      <c r="C11" s="702">
        <f>huishoudens!B8</f>
        <v>55278.025574494131</v>
      </c>
      <c r="D11" s="702">
        <f>huishoudens!C8</f>
        <v>0</v>
      </c>
      <c r="E11" s="702">
        <f>huishoudens!D8</f>
        <v>77833.480779999998</v>
      </c>
      <c r="F11" s="702">
        <f>huishoudens!E8</f>
        <v>3349.7044977337605</v>
      </c>
      <c r="G11" s="702">
        <f>huishoudens!F8</f>
        <v>101145.5811766085</v>
      </c>
      <c r="H11" s="702">
        <f>huishoudens!G8</f>
        <v>0</v>
      </c>
      <c r="I11" s="702">
        <f>huishoudens!H8</f>
        <v>0</v>
      </c>
      <c r="J11" s="702">
        <f>huishoudens!I8</f>
        <v>0</v>
      </c>
      <c r="K11" s="702">
        <f>huishoudens!J8</f>
        <v>0</v>
      </c>
      <c r="L11" s="702">
        <f>huishoudens!K8</f>
        <v>0</v>
      </c>
      <c r="M11" s="702">
        <f>huishoudens!L8</f>
        <v>0</v>
      </c>
      <c r="N11" s="702">
        <f>huishoudens!M8</f>
        <v>0</v>
      </c>
      <c r="O11" s="702">
        <f>huishoudens!N8</f>
        <v>21200.907880749382</v>
      </c>
      <c r="P11" s="702">
        <f>huishoudens!O8</f>
        <v>187.6</v>
      </c>
      <c r="Q11" s="703">
        <f>huishoudens!P8</f>
        <v>247.86666666666667</v>
      </c>
      <c r="R11" s="705">
        <f>SUM(C11:Q11)</f>
        <v>259243.16657625244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32752.675999999996</v>
      </c>
      <c r="D13" s="702">
        <f>industrie!C18</f>
        <v>0</v>
      </c>
      <c r="E13" s="702">
        <f>industrie!D18</f>
        <v>32619.145064</v>
      </c>
      <c r="F13" s="702">
        <f>industrie!E18</f>
        <v>430.62574349411494</v>
      </c>
      <c r="G13" s="702">
        <f>industrie!F18</f>
        <v>9485.4413128629203</v>
      </c>
      <c r="H13" s="702">
        <f>industrie!G18</f>
        <v>0</v>
      </c>
      <c r="I13" s="702">
        <f>industrie!H18</f>
        <v>0</v>
      </c>
      <c r="J13" s="702">
        <f>industrie!I18</f>
        <v>0</v>
      </c>
      <c r="K13" s="702">
        <f>industrie!J18</f>
        <v>291.76383103807291</v>
      </c>
      <c r="L13" s="702">
        <f>industrie!K18</f>
        <v>0</v>
      </c>
      <c r="M13" s="702">
        <f>industrie!L18</f>
        <v>0</v>
      </c>
      <c r="N13" s="702">
        <f>industrie!M18</f>
        <v>0</v>
      </c>
      <c r="O13" s="702">
        <f>industrie!N18</f>
        <v>758.09145836308335</v>
      </c>
      <c r="P13" s="702">
        <f>industrie!O18</f>
        <v>0</v>
      </c>
      <c r="Q13" s="703">
        <f>industrie!P18</f>
        <v>0</v>
      </c>
      <c r="R13" s="705">
        <f>SUM(C13:Q13)</f>
        <v>76337.743409758186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134178.22157449415</v>
      </c>
      <c r="D15" s="707">
        <f t="shared" ref="D15:Q15" ca="1" si="0">SUM(D9:D14)</f>
        <v>8776.875</v>
      </c>
      <c r="E15" s="707">
        <f t="shared" ca="1" si="0"/>
        <v>152422.95678800001</v>
      </c>
      <c r="F15" s="707">
        <f t="shared" si="0"/>
        <v>4552.1285977424905</v>
      </c>
      <c r="G15" s="707">
        <f t="shared" ca="1" si="0"/>
        <v>118351.42122433292</v>
      </c>
      <c r="H15" s="707">
        <f t="shared" si="0"/>
        <v>0</v>
      </c>
      <c r="I15" s="707">
        <f t="shared" si="0"/>
        <v>0</v>
      </c>
      <c r="J15" s="707">
        <f t="shared" si="0"/>
        <v>0</v>
      </c>
      <c r="K15" s="707">
        <f t="shared" si="0"/>
        <v>291.76383103807291</v>
      </c>
      <c r="L15" s="707">
        <f t="shared" si="0"/>
        <v>0</v>
      </c>
      <c r="M15" s="707">
        <f t="shared" ca="1" si="0"/>
        <v>0</v>
      </c>
      <c r="N15" s="707">
        <f t="shared" si="0"/>
        <v>0</v>
      </c>
      <c r="O15" s="707">
        <f t="shared" ca="1" si="0"/>
        <v>21958.999339112466</v>
      </c>
      <c r="P15" s="707">
        <f t="shared" si="0"/>
        <v>187.6</v>
      </c>
      <c r="Q15" s="708">
        <f t="shared" si="0"/>
        <v>305.06666666666666</v>
      </c>
      <c r="R15" s="709">
        <f ca="1">SUM(R9:R14)</f>
        <v>441025.03302138677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4356.342103208668</v>
      </c>
      <c r="I18" s="702">
        <f>transport!H54</f>
        <v>0</v>
      </c>
      <c r="J18" s="702">
        <f>transport!I54</f>
        <v>0</v>
      </c>
      <c r="K18" s="702">
        <f>transport!J54</f>
        <v>0</v>
      </c>
      <c r="L18" s="702">
        <f>transport!K54</f>
        <v>0</v>
      </c>
      <c r="M18" s="702">
        <f>transport!L54</f>
        <v>0</v>
      </c>
      <c r="N18" s="702">
        <f>transport!M54</f>
        <v>185.69193783360117</v>
      </c>
      <c r="O18" s="702">
        <f>transport!N54</f>
        <v>0</v>
      </c>
      <c r="P18" s="702">
        <f>transport!O54</f>
        <v>0</v>
      </c>
      <c r="Q18" s="703">
        <f>transport!P54</f>
        <v>0</v>
      </c>
      <c r="R18" s="705">
        <f>SUM(C18:Q18)</f>
        <v>4542.0340410422696</v>
      </c>
      <c r="S18" s="67"/>
    </row>
    <row r="19" spans="1:19" s="457" customFormat="1" ht="15" thickBot="1">
      <c r="A19" s="858" t="s">
        <v>308</v>
      </c>
      <c r="B19" s="863"/>
      <c r="C19" s="711">
        <f>transport!B14</f>
        <v>1.6176643924593668</v>
      </c>
      <c r="D19" s="711">
        <f>transport!C14</f>
        <v>0</v>
      </c>
      <c r="E19" s="711">
        <f>transport!D14</f>
        <v>8.1755678701364118</v>
      </c>
      <c r="F19" s="711">
        <f>transport!E14</f>
        <v>866.05865689510324</v>
      </c>
      <c r="G19" s="711">
        <f>transport!F14</f>
        <v>0</v>
      </c>
      <c r="H19" s="711">
        <f>transport!G14</f>
        <v>147138.3944778344</v>
      </c>
      <c r="I19" s="711">
        <f>transport!H14</f>
        <v>27440.335260898839</v>
      </c>
      <c r="J19" s="711">
        <f>transport!I14</f>
        <v>0</v>
      </c>
      <c r="K19" s="711">
        <f>transport!J14</f>
        <v>0</v>
      </c>
      <c r="L19" s="711">
        <f>transport!K14</f>
        <v>0</v>
      </c>
      <c r="M19" s="711">
        <f>transport!L14</f>
        <v>0</v>
      </c>
      <c r="N19" s="711">
        <f>transport!M14</f>
        <v>7623.3038166924953</v>
      </c>
      <c r="O19" s="711">
        <f>transport!N14</f>
        <v>0</v>
      </c>
      <c r="P19" s="711">
        <f>transport!O14</f>
        <v>0</v>
      </c>
      <c r="Q19" s="712">
        <f>transport!P14</f>
        <v>0</v>
      </c>
      <c r="R19" s="713">
        <f>SUM(C19:Q19)</f>
        <v>183077.88544458343</v>
      </c>
      <c r="S19" s="67"/>
    </row>
    <row r="20" spans="1:19" s="457" customFormat="1" ht="15.75" thickBot="1">
      <c r="A20" s="714" t="s">
        <v>231</v>
      </c>
      <c r="B20" s="866"/>
      <c r="C20" s="861">
        <f>SUM(C17:C19)</f>
        <v>1.6176643924593668</v>
      </c>
      <c r="D20" s="715">
        <f t="shared" ref="D20:R20" si="1">SUM(D17:D19)</f>
        <v>0</v>
      </c>
      <c r="E20" s="715">
        <f t="shared" si="1"/>
        <v>8.1755678701364118</v>
      </c>
      <c r="F20" s="715">
        <f t="shared" si="1"/>
        <v>866.05865689510324</v>
      </c>
      <c r="G20" s="715">
        <f t="shared" si="1"/>
        <v>0</v>
      </c>
      <c r="H20" s="715">
        <f t="shared" si="1"/>
        <v>151494.73658104308</v>
      </c>
      <c r="I20" s="715">
        <f t="shared" si="1"/>
        <v>27440.335260898839</v>
      </c>
      <c r="J20" s="715">
        <f t="shared" si="1"/>
        <v>0</v>
      </c>
      <c r="K20" s="715">
        <f t="shared" si="1"/>
        <v>0</v>
      </c>
      <c r="L20" s="715">
        <f t="shared" si="1"/>
        <v>0</v>
      </c>
      <c r="M20" s="715">
        <f t="shared" si="1"/>
        <v>0</v>
      </c>
      <c r="N20" s="715">
        <f t="shared" si="1"/>
        <v>7808.9957545260968</v>
      </c>
      <c r="O20" s="715">
        <f t="shared" si="1"/>
        <v>0</v>
      </c>
      <c r="P20" s="715">
        <f t="shared" si="1"/>
        <v>0</v>
      </c>
      <c r="Q20" s="716">
        <f t="shared" si="1"/>
        <v>0</v>
      </c>
      <c r="R20" s="717">
        <f t="shared" si="1"/>
        <v>187619.91948562569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240.523</v>
      </c>
      <c r="D22" s="711">
        <f>+landbouw!C8</f>
        <v>19285.714285714286</v>
      </c>
      <c r="E22" s="711">
        <f>+landbouw!D8</f>
        <v>39.761062000000003</v>
      </c>
      <c r="F22" s="711">
        <f>+landbouw!E8</f>
        <v>2.5188089271060523</v>
      </c>
      <c r="G22" s="711">
        <f>+landbouw!F8</f>
        <v>1235.3644250984926</v>
      </c>
      <c r="H22" s="711">
        <f>+landbouw!G8</f>
        <v>0</v>
      </c>
      <c r="I22" s="711">
        <f>+landbouw!H8</f>
        <v>0</v>
      </c>
      <c r="J22" s="711">
        <f>+landbouw!I8</f>
        <v>0</v>
      </c>
      <c r="K22" s="711">
        <f>+landbouw!J8</f>
        <v>21.480859744426976</v>
      </c>
      <c r="L22" s="711">
        <f>+landbouw!K8</f>
        <v>0</v>
      </c>
      <c r="M22" s="711">
        <f>+landbouw!L8</f>
        <v>0</v>
      </c>
      <c r="N22" s="711">
        <f>+landbouw!M8</f>
        <v>0</v>
      </c>
      <c r="O22" s="711">
        <f>+landbouw!N8</f>
        <v>0</v>
      </c>
      <c r="P22" s="711">
        <f>+landbouw!O8</f>
        <v>0</v>
      </c>
      <c r="Q22" s="712">
        <f>+landbouw!P8</f>
        <v>0</v>
      </c>
      <c r="R22" s="713">
        <f>SUM(C22:Q22)</f>
        <v>20825.362441484314</v>
      </c>
      <c r="S22" s="67"/>
    </row>
    <row r="23" spans="1:19" s="457" customFormat="1" ht="17.25" thickTop="1" thickBot="1">
      <c r="A23" s="718" t="s">
        <v>116</v>
      </c>
      <c r="B23" s="852"/>
      <c r="C23" s="719">
        <f ca="1">C20+C15+C22</f>
        <v>134420.36223888659</v>
      </c>
      <c r="D23" s="719">
        <f t="shared" ref="D23:Q23" ca="1" si="2">D20+D15+D22</f>
        <v>28062.589285714286</v>
      </c>
      <c r="E23" s="719">
        <f t="shared" ca="1" si="2"/>
        <v>152470.89341787016</v>
      </c>
      <c r="F23" s="719">
        <f t="shared" si="2"/>
        <v>5420.7060635646994</v>
      </c>
      <c r="G23" s="719">
        <f t="shared" ca="1" si="2"/>
        <v>119586.78564943142</v>
      </c>
      <c r="H23" s="719">
        <f t="shared" si="2"/>
        <v>151494.73658104308</v>
      </c>
      <c r="I23" s="719">
        <f t="shared" si="2"/>
        <v>27440.335260898839</v>
      </c>
      <c r="J23" s="719">
        <f t="shared" si="2"/>
        <v>0</v>
      </c>
      <c r="K23" s="719">
        <f t="shared" si="2"/>
        <v>313.2446907824999</v>
      </c>
      <c r="L23" s="719">
        <f t="shared" si="2"/>
        <v>0</v>
      </c>
      <c r="M23" s="719">
        <f t="shared" ca="1" si="2"/>
        <v>0</v>
      </c>
      <c r="N23" s="719">
        <f t="shared" si="2"/>
        <v>7808.9957545260968</v>
      </c>
      <c r="O23" s="719">
        <f t="shared" ca="1" si="2"/>
        <v>21958.999339112466</v>
      </c>
      <c r="P23" s="719">
        <f t="shared" si="2"/>
        <v>187.6</v>
      </c>
      <c r="Q23" s="720">
        <f t="shared" si="2"/>
        <v>305.06666666666666</v>
      </c>
      <c r="R23" s="721">
        <f ca="1">R20+R15+R22</f>
        <v>649470.31494849687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8181.4579340130695</v>
      </c>
      <c r="D36" s="702">
        <f ca="1">tertiair!C20</f>
        <v>9.291015067905517E-2</v>
      </c>
      <c r="E36" s="702">
        <f ca="1">tertiair!D20</f>
        <v>8478.0068506880016</v>
      </c>
      <c r="F36" s="702">
        <f>tertiair!E20</f>
        <v>175.19822692881755</v>
      </c>
      <c r="G36" s="702">
        <f ca="1">tertiair!F20</f>
        <v>2061.3464622080219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18896.102383988586</v>
      </c>
    </row>
    <row r="37" spans="1:18">
      <c r="A37" s="873" t="s">
        <v>226</v>
      </c>
      <c r="B37" s="880"/>
      <c r="C37" s="702">
        <f ca="1">huishoudens!B12</f>
        <v>9800.1981669442339</v>
      </c>
      <c r="D37" s="702">
        <f ca="1">huishoudens!C12</f>
        <v>0</v>
      </c>
      <c r="E37" s="702">
        <f>huishoudens!D12</f>
        <v>15722.36311756</v>
      </c>
      <c r="F37" s="702">
        <f>huishoudens!E12</f>
        <v>760.3829209855636</v>
      </c>
      <c r="G37" s="702">
        <f>huishoudens!F12</f>
        <v>27005.870174154468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53288.814379644267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5806.6964578022698</v>
      </c>
      <c r="D39" s="702">
        <f ca="1">industrie!C22</f>
        <v>0</v>
      </c>
      <c r="E39" s="702">
        <f>industrie!D22</f>
        <v>6589.0673029280006</v>
      </c>
      <c r="F39" s="702">
        <f>industrie!E22</f>
        <v>97.75204377316409</v>
      </c>
      <c r="G39" s="702">
        <f>industrie!F22</f>
        <v>2532.6128305344</v>
      </c>
      <c r="H39" s="702">
        <f>industrie!G22</f>
        <v>0</v>
      </c>
      <c r="I39" s="702">
        <f>industrie!H22</f>
        <v>0</v>
      </c>
      <c r="J39" s="702">
        <f>industrie!I22</f>
        <v>0</v>
      </c>
      <c r="K39" s="702">
        <f>industrie!J22</f>
        <v>103.28439618747781</v>
      </c>
      <c r="L39" s="702">
        <f>industrie!K22</f>
        <v>0</v>
      </c>
      <c r="M39" s="702">
        <f>industrie!L22</f>
        <v>0</v>
      </c>
      <c r="N39" s="702">
        <f>industrie!M22</f>
        <v>0</v>
      </c>
      <c r="O39" s="702">
        <f>industrie!N22</f>
        <v>0</v>
      </c>
      <c r="P39" s="702">
        <f>industrie!O22</f>
        <v>0</v>
      </c>
      <c r="Q39" s="812">
        <f>industrie!P22</f>
        <v>0</v>
      </c>
      <c r="R39" s="906">
        <f ca="1">SUM(C39:Q39)</f>
        <v>15129.413031225315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23788.352558759576</v>
      </c>
      <c r="D41" s="747">
        <f t="shared" ref="D41:R41" ca="1" si="4">SUM(D35:D40)</f>
        <v>9.291015067905517E-2</v>
      </c>
      <c r="E41" s="747">
        <f t="shared" ca="1" si="4"/>
        <v>30789.437271176001</v>
      </c>
      <c r="F41" s="747">
        <f t="shared" si="4"/>
        <v>1033.3331916875452</v>
      </c>
      <c r="G41" s="747">
        <f t="shared" ca="1" si="4"/>
        <v>31599.829466896888</v>
      </c>
      <c r="H41" s="747">
        <f t="shared" si="4"/>
        <v>0</v>
      </c>
      <c r="I41" s="747">
        <f t="shared" si="4"/>
        <v>0</v>
      </c>
      <c r="J41" s="747">
        <f t="shared" si="4"/>
        <v>0</v>
      </c>
      <c r="K41" s="747">
        <f t="shared" si="4"/>
        <v>103.28439618747781</v>
      </c>
      <c r="L41" s="747">
        <f t="shared" si="4"/>
        <v>0</v>
      </c>
      <c r="M41" s="747">
        <f t="shared" ca="1" si="4"/>
        <v>0</v>
      </c>
      <c r="N41" s="747">
        <f t="shared" si="4"/>
        <v>0</v>
      </c>
      <c r="O41" s="747">
        <f t="shared" ca="1" si="4"/>
        <v>0</v>
      </c>
      <c r="P41" s="747">
        <f t="shared" si="4"/>
        <v>0</v>
      </c>
      <c r="Q41" s="748">
        <f t="shared" si="4"/>
        <v>0</v>
      </c>
      <c r="R41" s="749">
        <f t="shared" ca="1" si="4"/>
        <v>87314.32979485816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1163.1433415567144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1163.1433415567144</v>
      </c>
    </row>
    <row r="45" spans="1:18" ht="15" thickBot="1">
      <c r="A45" s="876" t="s">
        <v>308</v>
      </c>
      <c r="B45" s="886"/>
      <c r="C45" s="711">
        <f ca="1">transport!B18</f>
        <v>0.2867944621565171</v>
      </c>
      <c r="D45" s="711">
        <f>transport!C18</f>
        <v>0</v>
      </c>
      <c r="E45" s="711">
        <f>transport!D18</f>
        <v>1.6514647097675552</v>
      </c>
      <c r="F45" s="711">
        <f>transport!E18</f>
        <v>196.59531511518844</v>
      </c>
      <c r="G45" s="711">
        <f>transport!F18</f>
        <v>0</v>
      </c>
      <c r="H45" s="711">
        <f>transport!G18</f>
        <v>39285.951325581787</v>
      </c>
      <c r="I45" s="711">
        <f>transport!H18</f>
        <v>6832.6434799638109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46317.128379832706</v>
      </c>
    </row>
    <row r="46" spans="1:18" ht="15.75" thickBot="1">
      <c r="A46" s="874" t="s">
        <v>231</v>
      </c>
      <c r="B46" s="887"/>
      <c r="C46" s="747">
        <f t="shared" ref="C46:R46" ca="1" si="5">SUM(C43:C45)</f>
        <v>0.2867944621565171</v>
      </c>
      <c r="D46" s="747">
        <f t="shared" ca="1" si="5"/>
        <v>0</v>
      </c>
      <c r="E46" s="747">
        <f t="shared" si="5"/>
        <v>1.6514647097675552</v>
      </c>
      <c r="F46" s="747">
        <f t="shared" si="5"/>
        <v>196.59531511518844</v>
      </c>
      <c r="G46" s="747">
        <f t="shared" si="5"/>
        <v>0</v>
      </c>
      <c r="H46" s="747">
        <f t="shared" si="5"/>
        <v>40449.094667138503</v>
      </c>
      <c r="I46" s="747">
        <f t="shared" si="5"/>
        <v>6832.6434799638109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47480.271721389421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42.642135626413413</v>
      </c>
      <c r="D48" s="702">
        <f ca="1">+landbouw!C12</f>
        <v>0.20415451060188522</v>
      </c>
      <c r="E48" s="702">
        <f>+landbouw!D12</f>
        <v>8.0317345240000009</v>
      </c>
      <c r="F48" s="702">
        <f>+landbouw!E12</f>
        <v>0.57176962645307394</v>
      </c>
      <c r="G48" s="702">
        <f>+landbouw!F12</f>
        <v>329.84230150129753</v>
      </c>
      <c r="H48" s="702">
        <f>+landbouw!G12</f>
        <v>0</v>
      </c>
      <c r="I48" s="702">
        <f>+landbouw!H12</f>
        <v>0</v>
      </c>
      <c r="J48" s="702">
        <f>+landbouw!I12</f>
        <v>0</v>
      </c>
      <c r="K48" s="702">
        <f>+landbouw!J12</f>
        <v>7.6042243495271489</v>
      </c>
      <c r="L48" s="702">
        <f>+landbouw!K12</f>
        <v>0</v>
      </c>
      <c r="M48" s="702">
        <f>+landbouw!L12</f>
        <v>0</v>
      </c>
      <c r="N48" s="702">
        <f>+landbouw!M12</f>
        <v>0</v>
      </c>
      <c r="O48" s="702">
        <f>+landbouw!N12</f>
        <v>0</v>
      </c>
      <c r="P48" s="702">
        <f>+landbouw!O12</f>
        <v>0</v>
      </c>
      <c r="Q48" s="703">
        <f>+landbouw!P12</f>
        <v>0</v>
      </c>
      <c r="R48" s="745">
        <f ca="1">SUM(C48:Q48)</f>
        <v>388.89632013829305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23831.281488848148</v>
      </c>
      <c r="D53" s="757">
        <f t="shared" ref="D53:Q53" ca="1" si="6">D41+D46+D48</f>
        <v>0.29706466128094039</v>
      </c>
      <c r="E53" s="757">
        <f t="shared" ca="1" si="6"/>
        <v>30799.120470409769</v>
      </c>
      <c r="F53" s="757">
        <f t="shared" si="6"/>
        <v>1230.5002764291867</v>
      </c>
      <c r="G53" s="757">
        <f t="shared" ca="1" si="6"/>
        <v>31929.671768398184</v>
      </c>
      <c r="H53" s="757">
        <f t="shared" si="6"/>
        <v>40449.094667138503</v>
      </c>
      <c r="I53" s="757">
        <f t="shared" si="6"/>
        <v>6832.6434799638109</v>
      </c>
      <c r="J53" s="757">
        <f t="shared" si="6"/>
        <v>0</v>
      </c>
      <c r="K53" s="757">
        <f t="shared" si="6"/>
        <v>110.88862053700495</v>
      </c>
      <c r="L53" s="757">
        <f t="shared" si="6"/>
        <v>0</v>
      </c>
      <c r="M53" s="757">
        <f t="shared" ca="1" si="6"/>
        <v>0</v>
      </c>
      <c r="N53" s="757">
        <f t="shared" si="6"/>
        <v>0</v>
      </c>
      <c r="O53" s="757">
        <f t="shared" ca="1" si="6"/>
        <v>0</v>
      </c>
      <c r="P53" s="757">
        <f>P41+P46+P48</f>
        <v>0</v>
      </c>
      <c r="Q53" s="758">
        <f t="shared" si="6"/>
        <v>0</v>
      </c>
      <c r="R53" s="759">
        <f ca="1">R41+R46+R48</f>
        <v>135183.49783638588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0.17728922234635947</v>
      </c>
      <c r="D55" s="823">
        <f t="shared" ca="1" si="7"/>
        <v>1.058578943861627E-5</v>
      </c>
      <c r="E55" s="823">
        <f t="shared" ca="1" si="7"/>
        <v>0.20199999999999999</v>
      </c>
      <c r="F55" s="823">
        <f t="shared" si="7"/>
        <v>0.22699999999999998</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6944.5752320566016</v>
      </c>
      <c r="C66" s="779">
        <f>'lokale energieproductie'!B6</f>
        <v>6944.5752320566016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19642.875</v>
      </c>
      <c r="C67" s="778">
        <f>B67*IFERROR(SUM(J67:L67)/SUM(D67:M67),0)</f>
        <v>19642.000022272143</v>
      </c>
      <c r="D67" s="810">
        <f>'lokale energieproductie'!C7</f>
        <v>1.0293828649458394</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23108.174771084174</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0.20793533871905959</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26587.450232056603</v>
      </c>
      <c r="C69" s="787">
        <f>SUM(C64:C68)</f>
        <v>26586.575254328745</v>
      </c>
      <c r="D69" s="788">
        <f t="shared" ref="D69:M69" si="8">SUM(D67:D68)</f>
        <v>1.0293828649458394</v>
      </c>
      <c r="E69" s="788">
        <f t="shared" si="8"/>
        <v>0</v>
      </c>
      <c r="F69" s="788">
        <f t="shared" si="8"/>
        <v>0</v>
      </c>
      <c r="G69" s="788">
        <f t="shared" si="8"/>
        <v>0</v>
      </c>
      <c r="H69" s="788">
        <f t="shared" si="8"/>
        <v>0</v>
      </c>
      <c r="I69" s="788">
        <f t="shared" si="8"/>
        <v>0</v>
      </c>
      <c r="J69" s="788">
        <f t="shared" si="8"/>
        <v>0</v>
      </c>
      <c r="K69" s="788">
        <f t="shared" si="8"/>
        <v>23108.174771084174</v>
      </c>
      <c r="L69" s="788">
        <f t="shared" si="8"/>
        <v>0</v>
      </c>
      <c r="M69" s="918">
        <f t="shared" si="8"/>
        <v>0</v>
      </c>
      <c r="N69" s="789">
        <v>0</v>
      </c>
      <c r="O69" s="789">
        <f>SUM(O67:O68)</f>
        <v>0.20793533871905959</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28062.589285714286</v>
      </c>
      <c r="C78" s="801">
        <f>B78*IFERROR(SUM(I78:L78)/SUM(D78:M78),0)</f>
        <v>28061.339257874111</v>
      </c>
      <c r="D78" s="816">
        <f>'lokale energieproductie'!C16</f>
        <v>1.4706171350541601</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33013.253800344391</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0.29706466128094039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28062.589285714286</v>
      </c>
      <c r="C81" s="787">
        <f>SUM(C78:C80)</f>
        <v>28061.339257874111</v>
      </c>
      <c r="D81" s="787">
        <f t="shared" ref="D81:P81" si="9">SUM(D78:D80)</f>
        <v>1.4706171350541601</v>
      </c>
      <c r="E81" s="787">
        <f t="shared" si="9"/>
        <v>0</v>
      </c>
      <c r="F81" s="787">
        <f t="shared" si="9"/>
        <v>0</v>
      </c>
      <c r="G81" s="787">
        <f t="shared" si="9"/>
        <v>0</v>
      </c>
      <c r="H81" s="787">
        <f t="shared" si="9"/>
        <v>0</v>
      </c>
      <c r="I81" s="787">
        <f t="shared" si="9"/>
        <v>0</v>
      </c>
      <c r="J81" s="787">
        <f t="shared" si="9"/>
        <v>0</v>
      </c>
      <c r="K81" s="787">
        <f t="shared" si="9"/>
        <v>33013.253800344391</v>
      </c>
      <c r="L81" s="787">
        <f t="shared" si="9"/>
        <v>0</v>
      </c>
      <c r="M81" s="787">
        <f t="shared" si="9"/>
        <v>0</v>
      </c>
      <c r="N81" s="787">
        <v>0</v>
      </c>
      <c r="O81" s="787">
        <f>SUM(O78:O80)</f>
        <v>0.29706466128094039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55278.025574494131</v>
      </c>
      <c r="C4" s="461">
        <f>huishoudens!C8</f>
        <v>0</v>
      </c>
      <c r="D4" s="461">
        <f>huishoudens!D8</f>
        <v>77833.480779999998</v>
      </c>
      <c r="E4" s="461">
        <f>huishoudens!E8</f>
        <v>3349.7044977337605</v>
      </c>
      <c r="F4" s="461">
        <f>huishoudens!F8</f>
        <v>101145.5811766085</v>
      </c>
      <c r="G4" s="461">
        <f>huishoudens!G8</f>
        <v>0</v>
      </c>
      <c r="H4" s="461">
        <f>huishoudens!H8</f>
        <v>0</v>
      </c>
      <c r="I4" s="461">
        <f>huishoudens!I8</f>
        <v>0</v>
      </c>
      <c r="J4" s="461">
        <f>huishoudens!J8</f>
        <v>0</v>
      </c>
      <c r="K4" s="461">
        <f>huishoudens!K8</f>
        <v>0</v>
      </c>
      <c r="L4" s="461">
        <f>huishoudens!L8</f>
        <v>0</v>
      </c>
      <c r="M4" s="461">
        <f>huishoudens!M8</f>
        <v>0</v>
      </c>
      <c r="N4" s="461">
        <f>huishoudens!N8</f>
        <v>21200.907880749382</v>
      </c>
      <c r="O4" s="461">
        <f>huishoudens!O8</f>
        <v>187.6</v>
      </c>
      <c r="P4" s="462">
        <f>huishoudens!P8</f>
        <v>247.86666666666667</v>
      </c>
      <c r="Q4" s="463">
        <f>SUM(B4:P4)</f>
        <v>259243.16657625244</v>
      </c>
    </row>
    <row r="5" spans="1:17">
      <c r="A5" s="460" t="s">
        <v>156</v>
      </c>
      <c r="B5" s="461">
        <f ca="1">tertiair!B16</f>
        <v>44677.427000000003</v>
      </c>
      <c r="C5" s="461">
        <f ca="1">tertiair!C16</f>
        <v>8776.875</v>
      </c>
      <c r="D5" s="461">
        <f ca="1">tertiair!D16</f>
        <v>41970.330944000001</v>
      </c>
      <c r="E5" s="461">
        <f>tertiair!E16</f>
        <v>771.79835651461474</v>
      </c>
      <c r="F5" s="461">
        <f ca="1">tertiair!F16</f>
        <v>7720.3987348615046</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57.2</v>
      </c>
      <c r="Q5" s="460">
        <f t="shared" ref="Q5:Q13" ca="1" si="0">SUM(B5:P5)</f>
        <v>103974.03003537613</v>
      </c>
    </row>
    <row r="6" spans="1:17">
      <c r="A6" s="460" t="s">
        <v>195</v>
      </c>
      <c r="B6" s="461">
        <f>'openbare verlichting'!B8</f>
        <v>1470.0930000000001</v>
      </c>
      <c r="C6" s="461"/>
      <c r="D6" s="461"/>
      <c r="E6" s="461"/>
      <c r="F6" s="461"/>
      <c r="G6" s="461"/>
      <c r="H6" s="461"/>
      <c r="I6" s="461"/>
      <c r="J6" s="461"/>
      <c r="K6" s="461"/>
      <c r="L6" s="461"/>
      <c r="M6" s="461"/>
      <c r="N6" s="461"/>
      <c r="O6" s="461"/>
      <c r="P6" s="462"/>
      <c r="Q6" s="460">
        <f t="shared" si="0"/>
        <v>1470.0930000000001</v>
      </c>
    </row>
    <row r="7" spans="1:17">
      <c r="A7" s="460" t="s">
        <v>112</v>
      </c>
      <c r="B7" s="461">
        <f>landbouw!B8</f>
        <v>240.523</v>
      </c>
      <c r="C7" s="461">
        <f>landbouw!C8</f>
        <v>19285.714285714286</v>
      </c>
      <c r="D7" s="461">
        <f>landbouw!D8</f>
        <v>39.761062000000003</v>
      </c>
      <c r="E7" s="461">
        <f>landbouw!E8</f>
        <v>2.5188089271060523</v>
      </c>
      <c r="F7" s="461">
        <f>landbouw!F8</f>
        <v>1235.3644250984926</v>
      </c>
      <c r="G7" s="461">
        <f>landbouw!G8</f>
        <v>0</v>
      </c>
      <c r="H7" s="461">
        <f>landbouw!H8</f>
        <v>0</v>
      </c>
      <c r="I7" s="461">
        <f>landbouw!I8</f>
        <v>0</v>
      </c>
      <c r="J7" s="461">
        <f>landbouw!J8</f>
        <v>21.480859744426976</v>
      </c>
      <c r="K7" s="461">
        <f>landbouw!K8</f>
        <v>0</v>
      </c>
      <c r="L7" s="461">
        <f>landbouw!L8</f>
        <v>0</v>
      </c>
      <c r="M7" s="461">
        <f>landbouw!M8</f>
        <v>0</v>
      </c>
      <c r="N7" s="461">
        <f>landbouw!N8</f>
        <v>0</v>
      </c>
      <c r="O7" s="461">
        <f>landbouw!O8</f>
        <v>0</v>
      </c>
      <c r="P7" s="462">
        <f>landbouw!P8</f>
        <v>0</v>
      </c>
      <c r="Q7" s="460">
        <f t="shared" si="0"/>
        <v>20825.362441484314</v>
      </c>
    </row>
    <row r="8" spans="1:17">
      <c r="A8" s="460" t="s">
        <v>656</v>
      </c>
      <c r="B8" s="461">
        <f>industrie!B18</f>
        <v>32752.675999999996</v>
      </c>
      <c r="C8" s="461">
        <f>industrie!C18</f>
        <v>0</v>
      </c>
      <c r="D8" s="461">
        <f>industrie!D18</f>
        <v>32619.145064</v>
      </c>
      <c r="E8" s="461">
        <f>industrie!E18</f>
        <v>430.62574349411494</v>
      </c>
      <c r="F8" s="461">
        <f>industrie!F18</f>
        <v>9485.4413128629203</v>
      </c>
      <c r="G8" s="461">
        <f>industrie!G18</f>
        <v>0</v>
      </c>
      <c r="H8" s="461">
        <f>industrie!H18</f>
        <v>0</v>
      </c>
      <c r="I8" s="461">
        <f>industrie!I18</f>
        <v>0</v>
      </c>
      <c r="J8" s="461">
        <f>industrie!J18</f>
        <v>291.76383103807291</v>
      </c>
      <c r="K8" s="461">
        <f>industrie!K18</f>
        <v>0</v>
      </c>
      <c r="L8" s="461">
        <f>industrie!L18</f>
        <v>0</v>
      </c>
      <c r="M8" s="461">
        <f>industrie!M18</f>
        <v>0</v>
      </c>
      <c r="N8" s="461">
        <f>industrie!N18</f>
        <v>758.09145836308335</v>
      </c>
      <c r="O8" s="461">
        <f>industrie!O18</f>
        <v>0</v>
      </c>
      <c r="P8" s="462">
        <f>industrie!P18</f>
        <v>0</v>
      </c>
      <c r="Q8" s="460">
        <f t="shared" si="0"/>
        <v>76337.743409758186</v>
      </c>
    </row>
    <row r="9" spans="1:17" s="466" customFormat="1">
      <c r="A9" s="464" t="s">
        <v>574</v>
      </c>
      <c r="B9" s="465">
        <f>transport!B14</f>
        <v>1.6176643924593668</v>
      </c>
      <c r="C9" s="465">
        <f>transport!C14</f>
        <v>0</v>
      </c>
      <c r="D9" s="465">
        <f>transport!D14</f>
        <v>8.1755678701364118</v>
      </c>
      <c r="E9" s="465">
        <f>transport!E14</f>
        <v>866.05865689510324</v>
      </c>
      <c r="F9" s="465">
        <f>transport!F14</f>
        <v>0</v>
      </c>
      <c r="G9" s="465">
        <f>transport!G14</f>
        <v>147138.3944778344</v>
      </c>
      <c r="H9" s="465">
        <f>transport!H14</f>
        <v>27440.335260898839</v>
      </c>
      <c r="I9" s="465">
        <f>transport!I14</f>
        <v>0</v>
      </c>
      <c r="J9" s="465">
        <f>transport!J14</f>
        <v>0</v>
      </c>
      <c r="K9" s="465">
        <f>transport!K14</f>
        <v>0</v>
      </c>
      <c r="L9" s="465">
        <f>transport!L14</f>
        <v>0</v>
      </c>
      <c r="M9" s="465">
        <f>transport!M14</f>
        <v>7623.3038166924953</v>
      </c>
      <c r="N9" s="465">
        <f>transport!N14</f>
        <v>0</v>
      </c>
      <c r="O9" s="465">
        <f>transport!O14</f>
        <v>0</v>
      </c>
      <c r="P9" s="465">
        <f>transport!P14</f>
        <v>0</v>
      </c>
      <c r="Q9" s="464">
        <f>SUM(B9:P9)</f>
        <v>183077.88544458343</v>
      </c>
    </row>
    <row r="10" spans="1:17">
      <c r="A10" s="460" t="s">
        <v>564</v>
      </c>
      <c r="B10" s="461">
        <f>transport!B54</f>
        <v>0</v>
      </c>
      <c r="C10" s="461">
        <f>transport!C54</f>
        <v>0</v>
      </c>
      <c r="D10" s="461">
        <f>transport!D54</f>
        <v>0</v>
      </c>
      <c r="E10" s="461">
        <f>transport!E54</f>
        <v>0</v>
      </c>
      <c r="F10" s="461">
        <f>transport!F54</f>
        <v>0</v>
      </c>
      <c r="G10" s="461">
        <f>transport!G54</f>
        <v>4356.342103208668</v>
      </c>
      <c r="H10" s="461">
        <f>transport!H54</f>
        <v>0</v>
      </c>
      <c r="I10" s="461">
        <f>transport!I54</f>
        <v>0</v>
      </c>
      <c r="J10" s="461">
        <f>transport!J54</f>
        <v>0</v>
      </c>
      <c r="K10" s="461">
        <f>transport!K54</f>
        <v>0</v>
      </c>
      <c r="L10" s="461">
        <f>transport!L54</f>
        <v>0</v>
      </c>
      <c r="M10" s="461">
        <f>transport!M54</f>
        <v>185.69193783360117</v>
      </c>
      <c r="N10" s="461">
        <f>transport!N54</f>
        <v>0</v>
      </c>
      <c r="O10" s="461">
        <f>transport!O54</f>
        <v>0</v>
      </c>
      <c r="P10" s="462">
        <f>transport!P54</f>
        <v>0</v>
      </c>
      <c r="Q10" s="460">
        <f t="shared" si="0"/>
        <v>4542.0340410422696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134420.36223888659</v>
      </c>
      <c r="C14" s="471">
        <f t="shared" ref="C14:Q14" ca="1" si="1">SUM(C4:C13)</f>
        <v>28062.589285714286</v>
      </c>
      <c r="D14" s="471">
        <f t="shared" ca="1" si="1"/>
        <v>152470.89341787016</v>
      </c>
      <c r="E14" s="471">
        <f t="shared" si="1"/>
        <v>5420.7060635646994</v>
      </c>
      <c r="F14" s="471">
        <f t="shared" ca="1" si="1"/>
        <v>119586.78564943142</v>
      </c>
      <c r="G14" s="471">
        <f t="shared" si="1"/>
        <v>151494.73658104308</v>
      </c>
      <c r="H14" s="471">
        <f t="shared" si="1"/>
        <v>27440.335260898839</v>
      </c>
      <c r="I14" s="471">
        <f t="shared" si="1"/>
        <v>0</v>
      </c>
      <c r="J14" s="471">
        <f t="shared" si="1"/>
        <v>313.2446907824999</v>
      </c>
      <c r="K14" s="471">
        <f t="shared" si="1"/>
        <v>0</v>
      </c>
      <c r="L14" s="471">
        <f t="shared" ca="1" si="1"/>
        <v>0</v>
      </c>
      <c r="M14" s="471">
        <f t="shared" si="1"/>
        <v>7808.9957545260968</v>
      </c>
      <c r="N14" s="471">
        <f t="shared" ca="1" si="1"/>
        <v>21958.999339112466</v>
      </c>
      <c r="O14" s="471">
        <f t="shared" si="1"/>
        <v>187.6</v>
      </c>
      <c r="P14" s="472">
        <f t="shared" si="1"/>
        <v>305.06666666666666</v>
      </c>
      <c r="Q14" s="472">
        <f t="shared" ca="1" si="1"/>
        <v>649470.31494849676</v>
      </c>
    </row>
    <row r="16" spans="1:17">
      <c r="A16" s="474" t="s">
        <v>569</v>
      </c>
      <c r="B16" s="828">
        <f ca="1">huishoudens!B10</f>
        <v>0.17728922234635944</v>
      </c>
      <c r="C16" s="828">
        <f ca="1">huishoudens!C10</f>
        <v>1.058578943861627E-5</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9800.1981669442339</v>
      </c>
      <c r="C21" s="461">
        <f t="shared" ref="C21:C30" ca="1" si="3">C4*$C$16</f>
        <v>0</v>
      </c>
      <c r="D21" s="461">
        <f t="shared" ref="D21:D30" si="4">D4*$D$16</f>
        <v>15722.36311756</v>
      </c>
      <c r="E21" s="461">
        <f t="shared" ref="E21:E30" si="5">E4*$E$16</f>
        <v>760.3829209855636</v>
      </c>
      <c r="F21" s="461">
        <f t="shared" ref="F21:F30" si="6">F4*$F$16</f>
        <v>27005.870174154468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53288.814379644267</v>
      </c>
    </row>
    <row r="22" spans="1:17">
      <c r="A22" s="460" t="s">
        <v>156</v>
      </c>
      <c r="B22" s="461">
        <f t="shared" ca="1" si="2"/>
        <v>7920.8262892662433</v>
      </c>
      <c r="C22" s="461">
        <f t="shared" ca="1" si="3"/>
        <v>9.291015067905517E-2</v>
      </c>
      <c r="D22" s="461">
        <f t="shared" ca="1" si="4"/>
        <v>8478.0068506880016</v>
      </c>
      <c r="E22" s="461">
        <f t="shared" si="5"/>
        <v>175.19822692881755</v>
      </c>
      <c r="F22" s="461">
        <f t="shared" ca="1" si="6"/>
        <v>2061.3464622080219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18635.470739241762</v>
      </c>
    </row>
    <row r="23" spans="1:17">
      <c r="A23" s="460" t="s">
        <v>195</v>
      </c>
      <c r="B23" s="461">
        <f t="shared" ca="1" si="2"/>
        <v>260.63164474682662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260.63164474682662</v>
      </c>
    </row>
    <row r="24" spans="1:17">
      <c r="A24" s="460" t="s">
        <v>112</v>
      </c>
      <c r="B24" s="461">
        <f t="shared" ca="1" si="2"/>
        <v>42.642135626413413</v>
      </c>
      <c r="C24" s="461">
        <f t="shared" ca="1" si="3"/>
        <v>0.20415451060188522</v>
      </c>
      <c r="D24" s="461">
        <f t="shared" si="4"/>
        <v>8.0317345240000009</v>
      </c>
      <c r="E24" s="461">
        <f t="shared" si="5"/>
        <v>0.57176962645307394</v>
      </c>
      <c r="F24" s="461">
        <f t="shared" si="6"/>
        <v>329.84230150129753</v>
      </c>
      <c r="G24" s="461">
        <f t="shared" si="7"/>
        <v>0</v>
      </c>
      <c r="H24" s="461">
        <f t="shared" si="8"/>
        <v>0</v>
      </c>
      <c r="I24" s="461">
        <f t="shared" si="9"/>
        <v>0</v>
      </c>
      <c r="J24" s="461">
        <f t="shared" si="10"/>
        <v>7.6042243495271489</v>
      </c>
      <c r="K24" s="461">
        <f t="shared" si="11"/>
        <v>0</v>
      </c>
      <c r="L24" s="461">
        <f t="shared" si="12"/>
        <v>0</v>
      </c>
      <c r="M24" s="461">
        <f t="shared" si="13"/>
        <v>0</v>
      </c>
      <c r="N24" s="461">
        <f t="shared" si="14"/>
        <v>0</v>
      </c>
      <c r="O24" s="461">
        <f t="shared" si="15"/>
        <v>0</v>
      </c>
      <c r="P24" s="462">
        <f t="shared" si="16"/>
        <v>0</v>
      </c>
      <c r="Q24" s="460">
        <f t="shared" ca="1" si="17"/>
        <v>388.89632013829305</v>
      </c>
    </row>
    <row r="25" spans="1:17">
      <c r="A25" s="460" t="s">
        <v>656</v>
      </c>
      <c r="B25" s="461">
        <f t="shared" ca="1" si="2"/>
        <v>5806.6964578022698</v>
      </c>
      <c r="C25" s="461">
        <f t="shared" ca="1" si="3"/>
        <v>0</v>
      </c>
      <c r="D25" s="461">
        <f t="shared" si="4"/>
        <v>6589.0673029280006</v>
      </c>
      <c r="E25" s="461">
        <f t="shared" si="5"/>
        <v>97.75204377316409</v>
      </c>
      <c r="F25" s="461">
        <f t="shared" si="6"/>
        <v>2532.6128305344</v>
      </c>
      <c r="G25" s="461">
        <f t="shared" si="7"/>
        <v>0</v>
      </c>
      <c r="H25" s="461">
        <f t="shared" si="8"/>
        <v>0</v>
      </c>
      <c r="I25" s="461">
        <f t="shared" si="9"/>
        <v>0</v>
      </c>
      <c r="J25" s="461">
        <f t="shared" si="10"/>
        <v>103.28439618747781</v>
      </c>
      <c r="K25" s="461">
        <f t="shared" si="11"/>
        <v>0</v>
      </c>
      <c r="L25" s="461">
        <f t="shared" si="12"/>
        <v>0</v>
      </c>
      <c r="M25" s="461">
        <f t="shared" si="13"/>
        <v>0</v>
      </c>
      <c r="N25" s="461">
        <f t="shared" si="14"/>
        <v>0</v>
      </c>
      <c r="O25" s="461">
        <f t="shared" si="15"/>
        <v>0</v>
      </c>
      <c r="P25" s="462">
        <f t="shared" si="16"/>
        <v>0</v>
      </c>
      <c r="Q25" s="460">
        <f t="shared" ca="1" si="17"/>
        <v>15129.413031225315</v>
      </c>
    </row>
    <row r="26" spans="1:17" s="466" customFormat="1">
      <c r="A26" s="464" t="s">
        <v>574</v>
      </c>
      <c r="B26" s="822">
        <f t="shared" ca="1" si="2"/>
        <v>0.2867944621565171</v>
      </c>
      <c r="C26" s="465">
        <f t="shared" ca="1" si="3"/>
        <v>0</v>
      </c>
      <c r="D26" s="465">
        <f t="shared" si="4"/>
        <v>1.6514647097675552</v>
      </c>
      <c r="E26" s="465">
        <f t="shared" si="5"/>
        <v>196.59531511518844</v>
      </c>
      <c r="F26" s="465">
        <f t="shared" si="6"/>
        <v>0</v>
      </c>
      <c r="G26" s="465">
        <f t="shared" si="7"/>
        <v>39285.951325581787</v>
      </c>
      <c r="H26" s="465">
        <f t="shared" si="8"/>
        <v>6832.6434799638109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46317.128379832706</v>
      </c>
    </row>
    <row r="27" spans="1:17">
      <c r="A27" s="460" t="s">
        <v>564</v>
      </c>
      <c r="B27" s="461">
        <f t="shared" ca="1" si="2"/>
        <v>0</v>
      </c>
      <c r="C27" s="461">
        <f t="shared" ca="1" si="3"/>
        <v>0</v>
      </c>
      <c r="D27" s="461">
        <f t="shared" si="4"/>
        <v>0</v>
      </c>
      <c r="E27" s="461">
        <f t="shared" si="5"/>
        <v>0</v>
      </c>
      <c r="F27" s="461">
        <f t="shared" si="6"/>
        <v>0</v>
      </c>
      <c r="G27" s="461">
        <f t="shared" si="7"/>
        <v>1163.1433415567144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1163.1433415567144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23831.281488848148</v>
      </c>
      <c r="C31" s="471">
        <f t="shared" ca="1" si="18"/>
        <v>0.29706466128094039</v>
      </c>
      <c r="D31" s="471">
        <f t="shared" ca="1" si="18"/>
        <v>30799.120470409769</v>
      </c>
      <c r="E31" s="471">
        <f t="shared" si="18"/>
        <v>1230.5002764291867</v>
      </c>
      <c r="F31" s="471">
        <f t="shared" ca="1" si="18"/>
        <v>31929.671768398184</v>
      </c>
      <c r="G31" s="471">
        <f t="shared" si="18"/>
        <v>40449.094667138503</v>
      </c>
      <c r="H31" s="471">
        <f t="shared" si="18"/>
        <v>6832.6434799638109</v>
      </c>
      <c r="I31" s="471">
        <f t="shared" si="18"/>
        <v>0</v>
      </c>
      <c r="J31" s="471">
        <f t="shared" si="18"/>
        <v>110.88862053700495</v>
      </c>
      <c r="K31" s="471">
        <f t="shared" si="18"/>
        <v>0</v>
      </c>
      <c r="L31" s="471">
        <f t="shared" ca="1" si="18"/>
        <v>0</v>
      </c>
      <c r="M31" s="471">
        <f t="shared" si="18"/>
        <v>0</v>
      </c>
      <c r="N31" s="471">
        <f t="shared" ca="1" si="18"/>
        <v>0</v>
      </c>
      <c r="O31" s="471">
        <f t="shared" si="18"/>
        <v>0</v>
      </c>
      <c r="P31" s="472">
        <f t="shared" si="18"/>
        <v>0</v>
      </c>
      <c r="Q31" s="472">
        <f t="shared" ca="1" si="18"/>
        <v>135183.49783638588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0.17728922234635944</v>
      </c>
      <c r="C17" s="511">
        <f ca="1">'EF ele_warmte'!B22</f>
        <v>1.058578943861627E-5</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0.17728922234635944</v>
      </c>
      <c r="C17" s="511">
        <f ca="1">'EF ele_warmte'!B22</f>
        <v>1.058578943861627E-5</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0.17728922234635944</v>
      </c>
      <c r="C29" s="512">
        <f ca="1">'EF ele_warmte'!B22</f>
        <v>1.058578943861627E-5</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2018-06-27T09:03:24Z</dcterms:modified>
</cp:coreProperties>
</file>