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D16" i="16"/>
  <c r="B8" i="9"/>
  <c r="B6" i="48" s="1"/>
  <c r="Q6" s="1"/>
  <c r="J15" i="16"/>
  <c r="O80" i="14"/>
  <c r="J8" i="18"/>
  <c r="H68" i="14"/>
  <c r="H69" s="1"/>
  <c r="D8" i="17"/>
  <c r="C97" i="18"/>
  <c r="I100" s="1"/>
  <c r="H7" s="1"/>
  <c r="I67" i="14" s="1"/>
  <c r="B16" i="18"/>
  <c r="B78" i="14"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P18" i="16"/>
  <c r="P22" s="1"/>
  <c r="Q39" i="14" s="1"/>
  <c r="J8" i="17"/>
  <c r="J7" i="48" s="1"/>
  <c r="J24" s="1"/>
  <c r="G19" i="18"/>
  <c r="K19"/>
  <c r="L16" i="16"/>
  <c r="L18" s="1"/>
  <c r="N6" i="17"/>
  <c r="C100" i="18"/>
  <c r="F100"/>
  <c r="E31" i="20"/>
  <c r="F43" i="14" s="1"/>
  <c r="H14" i="22"/>
  <c r="F8" i="17"/>
  <c r="G22" i="14" s="1"/>
  <c r="H100" i="18"/>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B19" i="18" l="1"/>
  <c r="B81" i="14"/>
  <c r="K14" i="48"/>
  <c r="B35" i="13"/>
  <c r="J12" i="17"/>
  <c r="K48" i="14" s="1"/>
  <c r="F12" i="17"/>
  <c r="G48" i="14" s="1"/>
  <c r="N8" i="17"/>
  <c r="N5"/>
  <c r="L5"/>
  <c r="L8" s="1"/>
  <c r="I16" i="18"/>
  <c r="D16" i="15"/>
  <c r="D100" i="18"/>
  <c r="G100"/>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12" i="17"/>
  <c r="F48" i="14" s="1"/>
  <c r="C5" i="48"/>
  <c r="L7" l="1"/>
  <c r="L24" s="1"/>
  <c r="M22" i="14"/>
  <c r="R22" s="1"/>
  <c r="L12" i="17"/>
  <c r="M48" i="14" s="1"/>
  <c r="J78"/>
  <c r="I19" i="18"/>
  <c r="O22" i="14"/>
  <c r="N12" i="17"/>
  <c r="O48" i="14" s="1"/>
  <c r="N7" i="48"/>
  <c r="N24" s="1"/>
  <c r="E13" i="14"/>
  <c r="C14" i="48"/>
  <c r="E19" i="14"/>
  <c r="E20" s="1"/>
  <c r="M16" i="18"/>
  <c r="M19" s="1"/>
  <c r="E7" i="48"/>
  <c r="E24" s="1"/>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81" i="14"/>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<sst xmlns="http://schemas.openxmlformats.org/spreadsheetml/2006/main" count="2029" uniqueCount="894">
  <si>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</si>
  <si>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</si>
  <si>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</si>
  <si>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</si>
  <si>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</si>
  <si>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</si>
  <si>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</si>
  <si>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</si>
  <si>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</si>
  <si>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</si>
  <si>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</si>
  <si>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</si>
  <si>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</si>
  <si>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</si>
  <si>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</si>
  <si>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</si>
  <si>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</si>
  <si>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</si>
  <si>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</si>
  <si>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</si>
  <si>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</si>
  <si>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</si>
  <si>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</si>
  <si>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</si>
  <si>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</si>
  <si>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</si>
  <si>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</si>
  <si>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</si>
  <si>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</si>
  <si>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</si>
  <si>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</si>
  <si>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</si>
  <si>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</si>
  <si>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</si>
  <si>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</si>
  <si>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</si>
  <si>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</si>
  <si>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</si>
  <si>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</si>
  <si>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</si>
  <si>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</si>
  <si>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</si>
  <si>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</si>
  <si>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</si>
  <si>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</si>
  <si>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</si>
  <si>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</si>
  <si>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</si>
  <si>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</si>
  <si>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</si>
  <si>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</si>
  <si>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</si>
  <si>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</si>
  <si>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</si>
  <si>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</si>
  <si>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</si>
  <si>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</si>
  <si>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</si>
  <si>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</si>
  <si>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</si>
  <si>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</si>
  <si>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</si>
  <si>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</si>
  <si>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</si>
  <si>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</si>
  <si>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</si>
  <si>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</si>
  <si>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</si>
  <si>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</si>
  <si>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</si>
  <si>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</si>
  <si>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</si>
  <si>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</si>
  <si>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</si>
  <si>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</si>
  <si>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</si>
  <si>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</si>
  <si>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</si>
  <si>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</si>
  <si>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</si>
  <si>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</si>
  <si>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</si>
  <si>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</si>
  <si>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</si>
  <si>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</si>
  <si>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</si>
  <si>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</si>
  <si>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</si>
  <si>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</si>
  <si>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</si>
  <si>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</si>
  <si>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</si>
  <si>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</si>
  <si>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</si>
  <si>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</si>
  <si>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</si>
  <si>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</si>
  <si>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</si>
  <si>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</si>
  <si>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</si>
  <si>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</si>
  <si>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</si>
  <si>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</si>
  <si>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</si>
  <si>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</si>
  <si>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</si>
  <si>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</si>
  <si>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</si>
  <si>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</si>
  <si>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</si>
  <si>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</si>
  <si>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</si>
  <si>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</si>
  <si>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</si>
  <si>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</si>
  <si>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</si>
  <si>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</si>
  <si>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</si>
  <si>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</si>
  <si>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</si>
  <si>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</si>
  <si>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</si>
  <si>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</si>
  <si>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</si>
  <si>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</si>
  <si>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</si>
  <si>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</si>
  <si>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</si>
  <si>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</si>
  <si>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</si>
  <si>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</si>
  <si>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</si>
  <si>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</si>
  <si>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</si>
  <si>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</si>
  <si>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</si>
  <si>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</si>
  <si>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</si>
  <si>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</si>
  <si>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</si>
  <si>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</si>
  <si>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</si>
  <si>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</si>
  <si>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</si>
  <si>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</si>
  <si>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</si>
  <si>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</si>
  <si>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</si>
  <si>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</si>
  <si>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</si>
  <si>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</si>
  <si>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</si>
  <si>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</si>
  <si>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</si>
  <si>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</si>
  <si>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</si>
  <si>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</si>
  <si>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</si>
  <si>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</si>
  <si>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</si>
  <si>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</si>
  <si>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</si>
  <si>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</si>
  <si>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</si>
  <si>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</si>
  <si>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</si>
  <si>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</si>
  <si>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</si>
  <si>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</si>
  <si>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</si>
  <si>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</si>
  <si>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</si>
  <si>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</si>
  <si>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</si>
  <si>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</si>
  <si>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</si>
  <si>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</si>
  <si>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</si>
  <si>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</si>
  <si>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</si>
  <si>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</si>
  <si>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</si>
  <si>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</si>
  <si>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</si>
  <si>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</si>
  <si>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</si>
  <si>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</si>
  <si>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</si>
  <si>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</si>
  <si>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</si>
  <si>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</si>
  <si>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</si>
  <si>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</si>
  <si>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</si>
  <si>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</si>
  <si>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</si>
  <si>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</si>
  <si>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</si>
  <si>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</si>
  <si>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</si>
  <si>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</si>
  <si>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</si>
  <si>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</si>
  <si>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</si>
  <si>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</si>
  <si>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</si>
  <si>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</si>
  <si>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</si>
  <si>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</si>
  <si>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</si>
  <si>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</si>
  <si>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</si>
  <si>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</si>
  <si>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</si>
  <si>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</si>
  <si>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</si>
  <si>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</si>
  <si>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</si>
  <si>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</si>
  <si>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</si>
  <si>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</si>
  <si>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</si>
  <si>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</si>
  <si>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</si>
  <si>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</si>
  <si>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</si>
  <si>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</si>
  <si>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</si>
  <si>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</si>
  <si>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</si>
  <si>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</si>
  <si>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</si>
  <si>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</si>
  <si>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</si>
  <si>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</si>
  <si>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</si>
  <si>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</si>
  <si>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</si>
  <si>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</si>
  <si>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</si>
  <si>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</si>
  <si>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</si>
  <si>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</si>
  <si>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</si>
  <si>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</si>
  <si>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</si>
  <si>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</si>
  <si>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</si>
  <si>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</si>
  <si>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</si>
  <si>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</si>
  <si>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</si>
  <si>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</si>
  <si>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</si>
  <si>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</si>
  <si>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</si>
  <si>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</si>
  <si>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</si>
  <si>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</si>
  <si>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</si>
  <si>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</si>
  <si>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</si>
  <si>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</si>
  <si>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</si>
  <si>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</si>
  <si>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</si>
  <si>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</si>
  <si>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</si>
  <si>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</si>
  <si>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</si>
  <si>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</si>
  <si>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</si>
  <si>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</si>
  <si>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</si>
  <si>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</si>
  <si>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</si>
  <si>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</si>
  <si>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</si>
  <si>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</si>
  <si>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</si>
  <si>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</si>
  <si>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</si>
  <si>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</si>
  <si>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</si>
  <si>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</si>
  <si>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</si>
  <si>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</si>
  <si>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</si>
  <si>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</si>
  <si>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</si>
  <si>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</si>
  <si>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</si>
  <si>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</si>
  <si>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</si>
  <si>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</si>
  <si>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</si>
  <si>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</si>
  <si>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</si>
  <si>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</si>
  <si>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</si>
  <si>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</si>
  <si>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</si>
  <si>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</si>
  <si>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</si>
  <si>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</si>
  <si>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</si>
  <si>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</si>
  <si>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</si>
  <si>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</si>
  <si>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</si>
  <si>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</si>
  <si>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</si>
  <si>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</si>
  <si>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</si>
  <si>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</si>
  <si>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</si>
  <si>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</si>
  <si>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</si>
  <si>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</si>
  <si>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</si>
  <si>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</si>
  <si>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</si>
  <si>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</si>
  <si>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</si>
  <si>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</si>
  <si>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</si>
  <si>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</si>
  <si>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</si>
  <si>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</si>
  <si>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</si>
  <si>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</si>
  <si>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</si>
  <si>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</si>
  <si>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</si>
  <si>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</si>
  <si>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</si>
  <si>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</si>
  <si>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</si>
  <si>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</si>
  <si>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</si>
  <si>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</si>
  <si>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</si>
  <si>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</si>
  <si>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</si>
  <si>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</si>
  <si>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</si>
  <si>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</si>
  <si>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</si>
  <si>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</si>
  <si>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</si>
  <si>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</si>
  <si>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</si>
  <si>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</si>
  <si>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</si>
  <si>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</si>
  <si>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</si>
  <si>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</si>
  <si>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</si>
  <si>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</si>
  <si>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</si>
  <si>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</si>
  <si>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</si>
  <si>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</si>
  <si>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</si>
  <si>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</si>
  <si>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</si>
  <si>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</si>
  <si>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</si>
  <si>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</si>
  <si>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</si>
  <si>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</si>
  <si>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</si>
  <si>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</si>
  <si>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</si>
  <si>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</si>
  <si>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</si>
  <si>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</si>
  <si>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</si>
  <si>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</si>
  <si>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</si>
  <si>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</si>
  <si>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</si>
  <si>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</si>
  <si>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</si>
  <si>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</si>
  <si>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</si>
  <si>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</si>
  <si>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</si>
  <si>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</si>
  <si>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</si>
  <si>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</si>
  <si>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</si>
  <si>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</si>
  <si>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</si>
  <si>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</si>
  <si>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</si>
  <si>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</si>
  <si>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</si>
  <si>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</si>
  <si>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</si>
  <si>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</si>
  <si>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</si>
  <si>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</si>
  <si>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</si>
  <si>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</si>
  <si>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</si>
  <si>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</si>
  <si>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</si>
  <si>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</si>
  <si>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</si>
  <si>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</si>
  <si>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</si>
  <si>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</si>
  <si>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</si>
  <si>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</si>
  <si>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</si>
  <si>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</si>
  <si>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</si>
  <si>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</si>
  <si>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</si>
  <si>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</si>
  <si>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</si>
  <si>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</si>
  <si>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</si>
  <si>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</si>
  <si>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</si>
  <si>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</si>
  <si>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</si>
  <si>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</si>
  <si>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</si>
  <si>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</si>
  <si>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</si>
  <si>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</si>
  <si>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</si>
  <si>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</si>
  <si>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</si>
  <si>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</si>
  <si>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</si>
  <si>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</si>
  <si>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</si>
  <si>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</si>
  <si>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</si>
  <si>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</si>
  <si>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</si>
  <si>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</si>
  <si>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</si>
  <si>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</si>
  <si>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</si>
  <si>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</si>
  <si>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</si>
  <si>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</si>
  <si>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</si>
  <si>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</si>
  <si>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</si>
  <si>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</si>
  <si>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</si>
  <si>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</si>
  <si>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</si>
  <si>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</si>
  <si>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</si>
  <si>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</si>
  <si>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</si>
  <si>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</si>
  <si>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</si>
  <si>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</si>
  <si>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</si>
  <si>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</si>
  <si>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</si>
  <si>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</si>
  <si>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</si>
  <si>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</si>
  <si>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</si>
  <si>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</si>
  <si>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</si>
  <si>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</si>
  <si>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</si>
  <si>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</si>
  <si>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</si>
  <si>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</si>
  <si>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</si>
  <si>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</si>
  <si>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</si>
  <si>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</si>
  <si>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</si>
  <si>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</si>
  <si>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</si>
  <si>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</si>
  <si>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</si>
  <si>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</si>
  <si>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</si>
  <si>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</si>
  <si>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</si>
  <si>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</si>
  <si>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</si>
  <si>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</si>
  <si>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</si>
  <si>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</si>
  <si>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</si>
  <si>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</si>
  <si>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</si>
  <si>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</si>
  <si>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</si>
  <si>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</si>
  <si>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</si>
  <si>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</si>
  <si>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</si>
  <si>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</si>
  <si>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</si>
  <si>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</si>
  <si>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</si>
  <si>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</si>
  <si>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</si>
  <si>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</si>
  <si>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</si>
  <si>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</si>
  <si>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</si>
  <si>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</si>
  <si>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</si>
  <si>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</si>
  <si>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</si>
  <si>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</si>
  <si>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</si>
  <si>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</si>
  <si>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</si>
  <si>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</si>
  <si>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</si>
  <si>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</si>
  <si>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</si>
  <si>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</si>
  <si>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</si>
  <si>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</si>
  <si>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</si>
  <si>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</si>
  <si>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</si>
  <si>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</si>
  <si>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</si>
  <si>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</si>
  <si>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</si>
  <si>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</si>
  <si>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</si>
  <si>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</si>
  <si>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</si>
  <si>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</si>
  <si>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</si>
  <si>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</si>
  <si>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</si>
  <si>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</si>
  <si>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</si>
  <si>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</si>
  <si>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</si>
  <si>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</si>
  <si>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</si>
  <si>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</si>
  <si>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</si>
  <si>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</si>
  <si>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</si>
  <si>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</si>
  <si>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</si>
  <si>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</si>
  <si>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</si>
  <si>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</si>
  <si>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</si>
  <si>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</si>
  <si>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</si>
  <si>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</si>
  <si>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</si>
  <si>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</si>
  <si>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</si>
  <si>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</si>
  <si>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</si>
  <si>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</si>
  <si>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</si>
  <si>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</si>
  <si>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</si>
  <si>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</si>
  <si>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</si>
  <si>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</si>
  <si>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</si>
  <si>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</si>
  <si>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</si>
  <si>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</si>
  <si>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</si>
  <si>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</si>
  <si>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</si>
  <si>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</si>
  <si>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</si>
  <si>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</si>
  <si>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</si>
  <si>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</si>
  <si>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</si>
  <si>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</si>
  <si>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</si>
  <si>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</si>
  <si>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</si>
  <si>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</si>
  <si>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</si>
  <si>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</si>
  <si>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</si>
  <si>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</si>
  <si>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</si>
  <si>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</si>
  <si>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</si>
  <si>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</si>
  <si>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</si>
  <si>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</si>
  <si>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</si>
  <si>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</si>
  <si>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</si>
  <si>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</si>
  <si>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</si>
  <si>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</si>
  <si>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</si>
  <si>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</si>
  <si>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</si>
  <si>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</si>
  <si>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</si>
  <si>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</si>
  <si>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</si>
  <si>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</si>
  <si>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</si>
  <si>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</si>
  <si>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</si>
  <si>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</si>
  <si>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</si>
  <si>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</si>
  <si>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</si>
  <si>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</si>
  <si>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</si>
  <si>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</si>
  <si>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</si>
  <si>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</si>
  <si>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</si>
  <si>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</si>
  <si>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</si>
  <si>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</si>
  <si>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</si>
  <si>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</si>
  <si>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</si>
  <si>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</si>
  <si>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</si>
  <si>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</si>
  <si>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</si>
  <si>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</si>
  <si>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</si>
  <si>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</si>
  <si>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</si>
  <si>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</si>
  <si>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</si>
  <si>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</si>
  <si>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</si>
  <si>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</si>
  <si>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</si>
  <si>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</si>
  <si>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</si>
  <si>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</si>
  <si>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</si>
  <si>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</si>
  <si>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</si>
  <si>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</si>
  <si>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</si>
  <si>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</si>
  <si>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</si>
  <si>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</si>
  <si>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</si>
  <si>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</si>
  <si>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</si>
  <si>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</si>
  <si>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</si>
  <si>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</si>
  <si>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</si>
  <si>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</si>
  <si>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</si>
  <si>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</si>
  <si>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</si>
  <si>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</si>
  <si>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</si>
  <si>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</si>
  <si>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</si>
  <si>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</si>
  <si>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</si>
  <si>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</si>
  <si>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</si>
  <si>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</si>
  <si>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</si>
  <si>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</si>
  <si>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</si>
  <si>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</si>
  <si>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</si>
  <si>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</si>
  <si>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</si>
  <si>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</si>
  <si>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</si>
  <si>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</si>
  <si>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</si>
  <si>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</si>
  <si>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</si>
  <si>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</si>
  <si>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</si>
  <si>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</si>
  <si>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</si>
  <si>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</si>
  <si>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</si>
  <si>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</si>
  <si>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</si>
  <si>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</si>
  <si>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</si>
  <si>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</si>
  <si>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</si>
  <si>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</si>
  <si>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</si>
  <si>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</si>
  <si>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</si>
  <si>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</si>
  <si>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</si>
  <si>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</si>
  <si>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</si>
  <si>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</si>
  <si>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</si>
  <si>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</si>
  <si>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</si>
  <si>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</si>
  <si>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</si>
  <si>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</si>
  <si>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</si>
  <si>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</si>
  <si>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</si>
  <si>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</si>
  <si>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</si>
  <si>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</si>
  <si>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</si>
  <si>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</si>
  <si>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</si>
  <si>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</si>
  <si>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</si>
  <si>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</si>
  <si>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</si>
  <si>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</si>
  <si>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</si>
  <si>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</si>
  <si>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</si>
  <si>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</si>
  <si>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</si>
  <si>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</si>
  <si>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</si>
  <si>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</si>
  <si>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</si>
  <si>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</si>
  <si>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</si>
  <si>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</si>
  <si>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</si>
  <si>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</si>
  <si>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</si>
  <si>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</si>
  <si>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</si>
  <si>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</si>
  <si>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</si>
  <si>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</si>
  <si>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</si>
  <si>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</si>
  <si>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</si>
  <si>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</si>
  <si>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</si>
  <si>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</si>
  <si>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</si>
  <si>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</si>
  <si>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</si>
  <si>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</si>
  <si>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</si>
  <si>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</si>
  <si>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</si>
  <si>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</si>
  <si>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</si>
  <si>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</si>
  <si>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</si>
  <si>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</si>
  <si>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</si>
  <si>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</si>
  <si>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</si>
  <si>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</si>
  <si>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</si>
  <si>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</si>
  <si>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</si>
  <si>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</si>
  <si>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</si>
  <si>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</si>
  <si>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</si>
  <si>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</si>
  <si>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</si>
  <si>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</si>
  <si>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</si>
  <si>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</si>
  <si>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</si>
  <si>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</si>
  <si>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</si>
  <si>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</si>
  <si>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</si>
  <si>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</si>
  <si>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</si>
  <si>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</si>
  <si>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</si>
  <si>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</si>
  <si>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</si>
  <si>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</si>
  <si>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</si>
  <si>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</si>
  <si>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</si>
  <si>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</si>
  <si>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</si>
  <si>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</si>
  <si>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</si>
  <si>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</si>
  <si>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</si>
  <si>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</si>
  <si>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</si>
  <si>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</si>
  <si>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</si>
  <si>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</si>
  <si>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</si>
  <si>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</si>
  <si>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</si>
  <si>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</si>
  <si>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</si>
  <si>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</si>
  <si>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</si>
  <si>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</si>
  <si>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</si>
  <si>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</si>
  <si>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</si>
  <si>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</si>
  <si>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</si>
  <si>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</si>
  <si>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</si>
  <si>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</si>
  <si>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</si>
  <si>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</si>
  <si>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</si>
  <si>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</si>
  <si>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</si>
  <si>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</si>
  <si>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</si>
  <si>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</si>
  <si>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</si>
  <si>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</si>
  <si>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</si>
  <si>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</si>
  <si>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</si>
  <si>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</si>
  <si>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</si>
  <si>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</si>
  <si>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</si>
  <si>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</si>
  <si>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</si>
  <si>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</si>
  <si>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</si>
  <si>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</si>
  <si>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</si>
  <si>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</si>
  <si>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</si>
  <si>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</si>
  <si>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</si>
  <si>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</si>
  <si>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</si>
  <si>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</si>
  <si>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</si>
  <si>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</si>
  <si>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</si>
  <si>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</si>
  <si>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</si>
  <si>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</si>
  <si>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</si>
  <si>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</si>
  <si>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</si>
  <si>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</si>
  <si>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</si>
  <si>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</si>
  <si>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</si>
  <si>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</si>
  <si>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</si>
  <si>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</si>
  <si>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</si>
  <si>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</si>
  <si>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</si>
  <si>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</si>
  <si>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</si>
  <si>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</si>
  <si>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72030</t>
  </si>
  <si>
    <t>PEER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</si>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</sst>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72030</v>
      </c>
      <c r="B6" s="396"/>
      <c r="C6" s="397"/>
    </row>
    <row r="7" spans="1:7" s="394" customFormat="1" ht="15.75" customHeight="1">
      <c r="A7" s="398" t="str">
        <f>txtMunicipality</f>
        <v>PEER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17753.237000000001</v>
      </c>
      <c r="D10" s="702">
        <f ca="1">tertiair!C16</f>
        <v>0</v>
      </c>
      <c r="E10" s="702">
        <f ca="1">tertiair!D16</f>
        <v>36581.518314000008</v>
      </c>
      <c r="F10" s="702">
        <f>tertiair!E16</f>
        <v>318.54561787843602</v>
      </c>
      <c r="G10" s="702">
        <f ca="1">tertiair!F16</f>
        <v>3126.7502765704889</v>
      </c>
      <c r="H10" s="702">
        <f>tertiair!G16</f>
        <v>0</v>
      </c>
      <c r="I10" s="702">
        <f>tertiair!H16</f>
        <v>0</v>
      </c>
      <c r="J10" s="702">
        <f>tertiair!I16</f>
        <v>0</v>
      </c>
      <c r="K10" s="702">
        <f>tertiair!J16</f>
        <v>0</v>
      </c>
      <c r="L10" s="702">
        <f>tertiair!K16</f>
        <v>0</v>
      </c>
      <c r="M10" s="702">
        <f ca="1">tertiair!L16</f>
        <v>0</v>
      </c>
      <c r="N10" s="702">
        <f>tertiair!M16</f>
        <v>0</v>
      </c>
      <c r="O10" s="702">
        <f ca="1">tertiair!N16</f>
        <v>383.84643102042435</v>
      </c>
      <c r="P10" s="702">
        <f>tertiair!O16</f>
        <v>1.5633333333333335</v>
      </c>
      <c r="Q10" s="703">
        <f>tertiair!P16</f>
        <v>0</v>
      </c>
      <c r="R10" s="705">
        <f ca="1">SUM(C10:Q10)</f>
        <v>58165.460972802692</v>
      </c>
      <c r="S10" s="67"/>
    </row>
    <row r="11" spans="1:19" s="457" customFormat="1">
      <c r="A11" s="858" t="s">
        <v>226</v>
      </c>
      <c r="B11" s="863"/>
      <c r="C11" s="702">
        <f>huishoudens!B8</f>
        <v>32653.648213403099</v>
      </c>
      <c r="D11" s="702">
        <f>huishoudens!C8</f>
        <v>0</v>
      </c>
      <c r="E11" s="702">
        <f>huishoudens!D8</f>
        <v>38273.588232000002</v>
      </c>
      <c r="F11" s="702">
        <f>huishoudens!E8</f>
        <v>4258.7967217133701</v>
      </c>
      <c r="G11" s="702">
        <f>huishoudens!F8</f>
        <v>55413.677662517242</v>
      </c>
      <c r="H11" s="702">
        <f>huishoudens!G8</f>
        <v>0</v>
      </c>
      <c r="I11" s="702">
        <f>huishoudens!H8</f>
        <v>0</v>
      </c>
      <c r="J11" s="702">
        <f>huishoudens!I8</f>
        <v>0</v>
      </c>
      <c r="K11" s="702">
        <f>huishoudens!J8</f>
        <v>0</v>
      </c>
      <c r="L11" s="702">
        <f>huishoudens!K8</f>
        <v>0</v>
      </c>
      <c r="M11" s="702">
        <f>huishoudens!L8</f>
        <v>0</v>
      </c>
      <c r="N11" s="702">
        <f>huishoudens!M8</f>
        <v>0</v>
      </c>
      <c r="O11" s="702">
        <f>huishoudens!N8</f>
        <v>16783.630499565294</v>
      </c>
      <c r="P11" s="702">
        <f>huishoudens!O8</f>
        <v>126.63</v>
      </c>
      <c r="Q11" s="703">
        <f>huishoudens!P8</f>
        <v>495.73333333333335</v>
      </c>
      <c r="R11" s="705">
        <f>SUM(C11:Q11)</f>
        <v>148005.70466253237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7033.3309999999992</v>
      </c>
      <c r="D13" s="702">
        <f>industrie!C18</f>
        <v>0</v>
      </c>
      <c r="E13" s="702">
        <f>industrie!D18</f>
        <v>2380.5502820000002</v>
      </c>
      <c r="F13" s="702">
        <f>industrie!E18</f>
        <v>108.82576289501054</v>
      </c>
      <c r="G13" s="702">
        <f>industrie!F18</f>
        <v>2347.0876368616591</v>
      </c>
      <c r="H13" s="702">
        <f>industrie!G18</f>
        <v>0</v>
      </c>
      <c r="I13" s="702">
        <f>industrie!H18</f>
        <v>0</v>
      </c>
      <c r="J13" s="702">
        <f>industrie!I18</f>
        <v>0</v>
      </c>
      <c r="K13" s="702">
        <f>industrie!J18</f>
        <v>8.5461228974921895</v>
      </c>
      <c r="L13" s="702">
        <f>industrie!K18</f>
        <v>0</v>
      </c>
      <c r="M13" s="702">
        <f>industrie!L18</f>
        <v>0</v>
      </c>
      <c r="N13" s="702">
        <f>industrie!M18</f>
        <v>0</v>
      </c>
      <c r="O13" s="702">
        <f>industrie!N18</f>
        <v>193.01962520171773</v>
      </c>
      <c r="P13" s="702">
        <f>industrie!O18</f>
        <v>0</v>
      </c>
      <c r="Q13" s="703">
        <f>industrie!P18</f>
        <v>0</v>
      </c>
      <c r="R13" s="705">
        <f>SUM(C13:Q13)</f>
        <v>12071.360429855878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57440.216213403102</v>
      </c>
      <c r="D15" s="707">
        <f t="shared" ref="D15:Q15" ca="1" si="0">SUM(D9:D14)</f>
        <v>0</v>
      </c>
      <c r="E15" s="707">
        <f t="shared" ca="1" si="0"/>
        <v>77235.656828000006</v>
      </c>
      <c r="F15" s="707">
        <f t="shared" si="0"/>
        <v>4686.1681024868167</v>
      </c>
      <c r="G15" s="707">
        <f t="shared" ca="1" si="0"/>
        <v>60887.515575949394</v>
      </c>
      <c r="H15" s="707">
        <f t="shared" si="0"/>
        <v>0</v>
      </c>
      <c r="I15" s="707">
        <f t="shared" si="0"/>
        <v>0</v>
      </c>
      <c r="J15" s="707">
        <f t="shared" si="0"/>
        <v>0</v>
      </c>
      <c r="K15" s="707">
        <f t="shared" si="0"/>
        <v>8.5461228974921895</v>
      </c>
      <c r="L15" s="707">
        <f t="shared" si="0"/>
        <v>0</v>
      </c>
      <c r="M15" s="707">
        <f t="shared" ca="1" si="0"/>
        <v>0</v>
      </c>
      <c r="N15" s="707">
        <f t="shared" si="0"/>
        <v>0</v>
      </c>
      <c r="O15" s="707">
        <f t="shared" ca="1" si="0"/>
        <v>17360.496555787438</v>
      </c>
      <c r="P15" s="707">
        <f t="shared" si="0"/>
        <v>128.19333333333333</v>
      </c>
      <c r="Q15" s="708">
        <f t="shared" si="0"/>
        <v>495.73333333333335</v>
      </c>
      <c r="R15" s="709">
        <f ca="1">SUM(R9:R14)</f>
        <v>218242.52606519093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2914.6942354944704</v>
      </c>
      <c r="I18" s="702">
        <f>transport!H54</f>
        <v>0</v>
      </c>
      <c r="J18" s="702">
        <f>transport!I54</f>
        <v>0</v>
      </c>
      <c r="K18" s="702">
        <f>transport!J54</f>
        <v>0</v>
      </c>
      <c r="L18" s="702">
        <f>transport!K54</f>
        <v>0</v>
      </c>
      <c r="M18" s="702">
        <f>transport!L54</f>
        <v>0</v>
      </c>
      <c r="N18" s="702">
        <f>transport!M54</f>
        <v>124.24075243832378</v>
      </c>
      <c r="O18" s="702">
        <f>transport!N54</f>
        <v>0</v>
      </c>
      <c r="P18" s="702">
        <f>transport!O54</f>
        <v>0</v>
      </c>
      <c r="Q18" s="703">
        <f>transport!P54</f>
        <v>0</v>
      </c>
      <c r="R18" s="705">
        <f>SUM(C18:Q18)</f>
        <v>3038.9349879327942</v>
      </c>
      <c r="S18" s="67"/>
    </row>
    <row r="19" spans="1:19" s="457" customFormat="1" ht="15" thickBot="1">
      <c r="A19" s="858" t="s">
        <v>308</v>
      </c>
      <c r="B19" s="863"/>
      <c r="C19" s="711">
        <f>transport!B14</f>
        <v>0.99588275814603444</v>
      </c>
      <c r="D19" s="711">
        <f>transport!C14</f>
        <v>0</v>
      </c>
      <c r="E19" s="711">
        <f>transport!D14</f>
        <v>5.3869268077201653</v>
      </c>
      <c r="F19" s="711">
        <f>transport!E14</f>
        <v>538.12580357156594</v>
      </c>
      <c r="G19" s="711">
        <f>transport!F14</f>
        <v>0</v>
      </c>
      <c r="H19" s="711">
        <f>transport!G14</f>
        <v>84304.064813957768</v>
      </c>
      <c r="I19" s="711">
        <f>transport!H14</f>
        <v>17778.835681449356</v>
      </c>
      <c r="J19" s="711">
        <f>transport!I14</f>
        <v>0</v>
      </c>
      <c r="K19" s="711">
        <f>transport!J14</f>
        <v>0</v>
      </c>
      <c r="L19" s="711">
        <f>transport!K14</f>
        <v>0</v>
      </c>
      <c r="M19" s="711">
        <f>transport!L14</f>
        <v>0</v>
      </c>
      <c r="N19" s="711">
        <f>transport!M14</f>
        <v>4462.9832273314778</v>
      </c>
      <c r="O19" s="711">
        <f>transport!N14</f>
        <v>0</v>
      </c>
      <c r="P19" s="711">
        <f>transport!O14</f>
        <v>0</v>
      </c>
      <c r="Q19" s="712">
        <f>transport!P14</f>
        <v>0</v>
      </c>
      <c r="R19" s="713">
        <f>SUM(C19:Q19)</f>
        <v>107090.39233587604</v>
      </c>
      <c r="S19" s="67"/>
    </row>
    <row r="20" spans="1:19" s="457" customFormat="1" ht="15.75" thickBot="1">
      <c r="A20" s="714" t="s">
        <v>231</v>
      </c>
      <c r="B20" s="866"/>
      <c r="C20" s="861">
        <f>SUM(C17:C19)</f>
        <v>0.99588275814603444</v>
      </c>
      <c r="D20" s="715">
        <f t="shared" ref="D20:R20" si="1">SUM(D17:D19)</f>
        <v>0</v>
      </c>
      <c r="E20" s="715">
        <f t="shared" si="1"/>
        <v>5.3869268077201653</v>
      </c>
      <c r="F20" s="715">
        <f t="shared" si="1"/>
        <v>538.12580357156594</v>
      </c>
      <c r="G20" s="715">
        <f t="shared" si="1"/>
        <v>0</v>
      </c>
      <c r="H20" s="715">
        <f t="shared" si="1"/>
        <v>87218.759049452245</v>
      </c>
      <c r="I20" s="715">
        <f t="shared" si="1"/>
        <v>17778.835681449356</v>
      </c>
      <c r="J20" s="715">
        <f t="shared" si="1"/>
        <v>0</v>
      </c>
      <c r="K20" s="715">
        <f t="shared" si="1"/>
        <v>0</v>
      </c>
      <c r="L20" s="715">
        <f t="shared" si="1"/>
        <v>0</v>
      </c>
      <c r="M20" s="715">
        <f t="shared" si="1"/>
        <v>0</v>
      </c>
      <c r="N20" s="715">
        <f t="shared" si="1"/>
        <v>4587.2239797698012</v>
      </c>
      <c r="O20" s="715">
        <f t="shared" si="1"/>
        <v>0</v>
      </c>
      <c r="P20" s="715">
        <f t="shared" si="1"/>
        <v>0</v>
      </c>
      <c r="Q20" s="716">
        <f t="shared" si="1"/>
        <v>0</v>
      </c>
      <c r="R20" s="717">
        <f t="shared" si="1"/>
        <v>110129.32732380883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4038.5819999999999</v>
      </c>
      <c r="D22" s="711">
        <f>+landbouw!C8</f>
        <v>0</v>
      </c>
      <c r="E22" s="711">
        <f>+landbouw!D8</f>
        <v>43.391612000000002</v>
      </c>
      <c r="F22" s="711">
        <f>+landbouw!E8</f>
        <v>42.292905021348545</v>
      </c>
      <c r="G22" s="711">
        <f>+landbouw!F8</f>
        <v>20742.800192260704</v>
      </c>
      <c r="H22" s="711">
        <f>+landbouw!G8</f>
        <v>0</v>
      </c>
      <c r="I22" s="711">
        <f>+landbouw!H8</f>
        <v>0</v>
      </c>
      <c r="J22" s="711">
        <f>+landbouw!I8</f>
        <v>0</v>
      </c>
      <c r="K22" s="711">
        <f>+landbouw!J8</f>
        <v>360.68157102799893</v>
      </c>
      <c r="L22" s="711">
        <f>+landbouw!K8</f>
        <v>0</v>
      </c>
      <c r="M22" s="711">
        <f>+landbouw!L8</f>
        <v>0</v>
      </c>
      <c r="N22" s="711">
        <f>+landbouw!M8</f>
        <v>0</v>
      </c>
      <c r="O22" s="711">
        <f>+landbouw!N8</f>
        <v>0</v>
      </c>
      <c r="P22" s="711">
        <f>+landbouw!O8</f>
        <v>0</v>
      </c>
      <c r="Q22" s="712">
        <f>+landbouw!P8</f>
        <v>0</v>
      </c>
      <c r="R22" s="713">
        <f>SUM(C22:Q22)</f>
        <v>25227.74828031005</v>
      </c>
      <c r="S22" s="67"/>
    </row>
    <row r="23" spans="1:19" s="457" customFormat="1" ht="17.25" thickTop="1" thickBot="1">
      <c r="A23" s="718" t="s">
        <v>116</v>
      </c>
      <c r="B23" s="852"/>
      <c r="C23" s="719">
        <f ca="1">C20+C15+C22</f>
        <v>61479.794096161248</v>
      </c>
      <c r="D23" s="719">
        <f t="shared" ref="D23:Q23" ca="1" si="2">D20+D15+D22</f>
        <v>0</v>
      </c>
      <c r="E23" s="719">
        <f t="shared" ca="1" si="2"/>
        <v>77284.435366807738</v>
      </c>
      <c r="F23" s="719">
        <f t="shared" si="2"/>
        <v>5266.5868110797319</v>
      </c>
      <c r="G23" s="719">
        <f t="shared" ca="1" si="2"/>
        <v>81630.315768210101</v>
      </c>
      <c r="H23" s="719">
        <f t="shared" si="2"/>
        <v>87218.759049452245</v>
      </c>
      <c r="I23" s="719">
        <f t="shared" si="2"/>
        <v>17778.835681449356</v>
      </c>
      <c r="J23" s="719">
        <f t="shared" si="2"/>
        <v>0</v>
      </c>
      <c r="K23" s="719">
        <f t="shared" si="2"/>
        <v>369.22769392549111</v>
      </c>
      <c r="L23" s="719">
        <f t="shared" si="2"/>
        <v>0</v>
      </c>
      <c r="M23" s="719">
        <f t="shared" ca="1" si="2"/>
        <v>0</v>
      </c>
      <c r="N23" s="719">
        <f t="shared" si="2"/>
        <v>4587.2239797698012</v>
      </c>
      <c r="O23" s="719">
        <f t="shared" ca="1" si="2"/>
        <v>17360.496555787438</v>
      </c>
      <c r="P23" s="719">
        <f t="shared" si="2"/>
        <v>128.19333333333333</v>
      </c>
      <c r="Q23" s="720">
        <f t="shared" si="2"/>
        <v>495.73333333333335</v>
      </c>
      <c r="R23" s="721">
        <f ca="1">R20+R15+R22</f>
        <v>353599.60166930984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3658.674214683504</v>
      </c>
      <c r="D36" s="702">
        <f ca="1">tertiair!C20</f>
        <v>0</v>
      </c>
      <c r="E36" s="702">
        <f ca="1">tertiair!D20</f>
        <v>7389.4666994280024</v>
      </c>
      <c r="F36" s="702">
        <f>tertiair!E20</f>
        <v>72.30985525840498</v>
      </c>
      <c r="G36" s="702">
        <f ca="1">tertiair!F20</f>
        <v>834.84232384432062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11955.293093214234</v>
      </c>
    </row>
    <row r="37" spans="1:18">
      <c r="A37" s="873" t="s">
        <v>226</v>
      </c>
      <c r="B37" s="880"/>
      <c r="C37" s="702">
        <f ca="1">huishoudens!B12</f>
        <v>6729.4240894617687</v>
      </c>
      <c r="D37" s="702">
        <f ca="1">huishoudens!C12</f>
        <v>0</v>
      </c>
      <c r="E37" s="702">
        <f>huishoudens!D12</f>
        <v>7731.264822864001</v>
      </c>
      <c r="F37" s="702">
        <f>huishoudens!E12</f>
        <v>966.74685582893505</v>
      </c>
      <c r="G37" s="702">
        <f>huishoudens!F12</f>
        <v>14795.451935892104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30222.887704046807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1449.4633723998695</v>
      </c>
      <c r="D39" s="702">
        <f ca="1">industrie!C22</f>
        <v>0</v>
      </c>
      <c r="E39" s="702">
        <f>industrie!D22</f>
        <v>480.87115696400008</v>
      </c>
      <c r="F39" s="702">
        <f>industrie!E22</f>
        <v>24.703448177167395</v>
      </c>
      <c r="G39" s="702">
        <f>industrie!F22</f>
        <v>626.67239904206303</v>
      </c>
      <c r="H39" s="702">
        <f>industrie!G22</f>
        <v>0</v>
      </c>
      <c r="I39" s="702">
        <f>industrie!H22</f>
        <v>0</v>
      </c>
      <c r="J39" s="702">
        <f>industrie!I22</f>
        <v>0</v>
      </c>
      <c r="K39" s="702">
        <f>industrie!J22</f>
        <v>3.0253275057122351</v>
      </c>
      <c r="L39" s="702">
        <f>industrie!K22</f>
        <v>0</v>
      </c>
      <c r="M39" s="702">
        <f>industrie!L22</f>
        <v>0</v>
      </c>
      <c r="N39" s="702">
        <f>industrie!M22</f>
        <v>0</v>
      </c>
      <c r="O39" s="702">
        <f>industrie!N22</f>
        <v>0</v>
      </c>
      <c r="P39" s="702">
        <f>industrie!O22</f>
        <v>0</v>
      </c>
      <c r="Q39" s="812">
        <f>industrie!P22</f>
        <v>0</v>
      </c>
      <c r="R39" s="906">
        <f ca="1">SUM(C39:Q39)</f>
        <v>2584.7357040888119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11837.561676545141</v>
      </c>
      <c r="D41" s="747">
        <f t="shared" ref="D41:R41" ca="1" si="4">SUM(D35:D40)</f>
        <v>0</v>
      </c>
      <c r="E41" s="747">
        <f t="shared" ca="1" si="4"/>
        <v>15601.602679256004</v>
      </c>
      <c r="F41" s="747">
        <f t="shared" si="4"/>
        <v>1063.7601592645076</v>
      </c>
      <c r="G41" s="747">
        <f t="shared" ca="1" si="4"/>
        <v>16256.966658778489</v>
      </c>
      <c r="H41" s="747">
        <f t="shared" si="4"/>
        <v>0</v>
      </c>
      <c r="I41" s="747">
        <f t="shared" si="4"/>
        <v>0</v>
      </c>
      <c r="J41" s="747">
        <f t="shared" si="4"/>
        <v>0</v>
      </c>
      <c r="K41" s="747">
        <f t="shared" si="4"/>
        <v>3.0253275057122351</v>
      </c>
      <c r="L41" s="747">
        <f t="shared" si="4"/>
        <v>0</v>
      </c>
      <c r="M41" s="747">
        <f t="shared" ca="1" si="4"/>
        <v>0</v>
      </c>
      <c r="N41" s="747">
        <f t="shared" si="4"/>
        <v>0</v>
      </c>
      <c r="O41" s="747">
        <f t="shared" ca="1" si="4"/>
        <v>0</v>
      </c>
      <c r="P41" s="747">
        <f t="shared" si="4"/>
        <v>0</v>
      </c>
      <c r="Q41" s="748">
        <f t="shared" si="4"/>
        <v>0</v>
      </c>
      <c r="R41" s="749">
        <f t="shared" ca="1" si="4"/>
        <v>44762.91650134985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778.22336087702365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778.22336087702365</v>
      </c>
    </row>
    <row r="45" spans="1:18" ht="15" thickBot="1">
      <c r="A45" s="876" t="s">
        <v>308</v>
      </c>
      <c r="B45" s="886"/>
      <c r="C45" s="711">
        <f ca="1">transport!B18</f>
        <v>0.20523640663822515</v>
      </c>
      <c r="D45" s="711">
        <f>transport!C18</f>
        <v>0</v>
      </c>
      <c r="E45" s="711">
        <f>transport!D18</f>
        <v>1.0881592151594734</v>
      </c>
      <c r="F45" s="711">
        <f>transport!E18</f>
        <v>122.15455741074547</v>
      </c>
      <c r="G45" s="711">
        <f>transport!F18</f>
        <v>0</v>
      </c>
      <c r="H45" s="711">
        <f>transport!G18</f>
        <v>22509.185305326726</v>
      </c>
      <c r="I45" s="711">
        <f>transport!H18</f>
        <v>4426.9300846808901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27059.563343040161</v>
      </c>
    </row>
    <row r="46" spans="1:18" ht="15.75" thickBot="1">
      <c r="A46" s="874" t="s">
        <v>231</v>
      </c>
      <c r="B46" s="887"/>
      <c r="C46" s="747">
        <f t="shared" ref="C46:R46" ca="1" si="5">SUM(C43:C45)</f>
        <v>0.20523640663822515</v>
      </c>
      <c r="D46" s="747">
        <f t="shared" ca="1" si="5"/>
        <v>0</v>
      </c>
      <c r="E46" s="747">
        <f t="shared" si="5"/>
        <v>1.0881592151594734</v>
      </c>
      <c r="F46" s="747">
        <f t="shared" si="5"/>
        <v>122.15455741074547</v>
      </c>
      <c r="G46" s="747">
        <f t="shared" si="5"/>
        <v>0</v>
      </c>
      <c r="H46" s="747">
        <f t="shared" si="5"/>
        <v>23287.408666203748</v>
      </c>
      <c r="I46" s="747">
        <f t="shared" si="5"/>
        <v>4426.9300846808901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27837.786703917183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832.29080011070289</v>
      </c>
      <c r="D48" s="702">
        <f ca="1">+landbouw!C12</f>
        <v>0</v>
      </c>
      <c r="E48" s="702">
        <f>+landbouw!D12</f>
        <v>8.7651056240000003</v>
      </c>
      <c r="F48" s="702">
        <f>+landbouw!E12</f>
        <v>9.60048943984612</v>
      </c>
      <c r="G48" s="702">
        <f>+landbouw!F12</f>
        <v>5538.3276513336086</v>
      </c>
      <c r="H48" s="702">
        <f>+landbouw!G12</f>
        <v>0</v>
      </c>
      <c r="I48" s="702">
        <f>+landbouw!H12</f>
        <v>0</v>
      </c>
      <c r="J48" s="702">
        <f>+landbouw!I12</f>
        <v>0</v>
      </c>
      <c r="K48" s="702">
        <f>+landbouw!J12</f>
        <v>127.68127614391162</v>
      </c>
      <c r="L48" s="702">
        <f>+landbouw!K12</f>
        <v>0</v>
      </c>
      <c r="M48" s="702">
        <f>+landbouw!L12</f>
        <v>0</v>
      </c>
      <c r="N48" s="702">
        <f>+landbouw!M12</f>
        <v>0</v>
      </c>
      <c r="O48" s="702">
        <f>+landbouw!N12</f>
        <v>0</v>
      </c>
      <c r="P48" s="702">
        <f>+landbouw!O12</f>
        <v>0</v>
      </c>
      <c r="Q48" s="703">
        <f>+landbouw!P12</f>
        <v>0</v>
      </c>
      <c r="R48" s="745">
        <f ca="1">SUM(C48:Q48)</f>
        <v>6516.6653226520693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12670.057713062482</v>
      </c>
      <c r="D53" s="757">
        <f t="shared" ref="D53:Q53" ca="1" si="6">D41+D46+D48</f>
        <v>0</v>
      </c>
      <c r="E53" s="757">
        <f t="shared" ca="1" si="6"/>
        <v>15611.455944095163</v>
      </c>
      <c r="F53" s="757">
        <f t="shared" si="6"/>
        <v>1195.5152061150991</v>
      </c>
      <c r="G53" s="757">
        <f t="shared" ca="1" si="6"/>
        <v>21795.294310112098</v>
      </c>
      <c r="H53" s="757">
        <f t="shared" si="6"/>
        <v>23287.408666203748</v>
      </c>
      <c r="I53" s="757">
        <f t="shared" si="6"/>
        <v>4426.9300846808901</v>
      </c>
      <c r="J53" s="757">
        <f t="shared" si="6"/>
        <v>0</v>
      </c>
      <c r="K53" s="757">
        <f t="shared" si="6"/>
        <v>130.70660364962384</v>
      </c>
      <c r="L53" s="757">
        <f t="shared" si="6"/>
        <v>0</v>
      </c>
      <c r="M53" s="757">
        <f t="shared" ca="1" si="6"/>
        <v>0</v>
      </c>
      <c r="N53" s="757">
        <f t="shared" si="6"/>
        <v>0</v>
      </c>
      <c r="O53" s="757">
        <f t="shared" ca="1" si="6"/>
        <v>0</v>
      </c>
      <c r="P53" s="757">
        <f>P41+P46+P48</f>
        <v>0</v>
      </c>
      <c r="Q53" s="758">
        <f t="shared" si="6"/>
        <v>0</v>
      </c>
      <c r="R53" s="759">
        <f ca="1">R41+R46+R48</f>
        <v>79117.368527919098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0.20608490804710733</v>
      </c>
      <c r="D55" s="823">
        <f t="shared" ca="1" si="7"/>
        <v>0</v>
      </c>
      <c r="E55" s="823">
        <f t="shared" ca="1" si="7"/>
        <v>0.20200000000000001</v>
      </c>
      <c r="F55" s="823">
        <f t="shared" si="7"/>
        <v>0.22699999999999998</v>
      </c>
      <c r="G55" s="823">
        <f t="shared" ca="1" si="7"/>
        <v>0.26700000000000002</v>
      </c>
      <c r="H55" s="823">
        <f t="shared" si="7"/>
        <v>0.26699999999999996</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4149.2162090006914</v>
      </c>
      <c r="C66" s="779">
        <f>'lokale energieproductie'!B6</f>
        <v>4149.2162090006914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4149.2162090006914</v>
      </c>
      <c r="C69" s="787">
        <f>SUM(C64:C68)</f>
        <v>4149.2162090006914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32653.648213403099</v>
      </c>
      <c r="C4" s="461">
        <f>huishoudens!C8</f>
        <v>0</v>
      </c>
      <c r="D4" s="461">
        <f>huishoudens!D8</f>
        <v>38273.588232000002</v>
      </c>
      <c r="E4" s="461">
        <f>huishoudens!E8</f>
        <v>4258.7967217133701</v>
      </c>
      <c r="F4" s="461">
        <f>huishoudens!F8</f>
        <v>55413.677662517242</v>
      </c>
      <c r="G4" s="461">
        <f>huishoudens!G8</f>
        <v>0</v>
      </c>
      <c r="H4" s="461">
        <f>huishoudens!H8</f>
        <v>0</v>
      </c>
      <c r="I4" s="461">
        <f>huishoudens!I8</f>
        <v>0</v>
      </c>
      <c r="J4" s="461">
        <f>huishoudens!J8</f>
        <v>0</v>
      </c>
      <c r="K4" s="461">
        <f>huishoudens!K8</f>
        <v>0</v>
      </c>
      <c r="L4" s="461">
        <f>huishoudens!L8</f>
        <v>0</v>
      </c>
      <c r="M4" s="461">
        <f>huishoudens!M8</f>
        <v>0</v>
      </c>
      <c r="N4" s="461">
        <f>huishoudens!N8</f>
        <v>16783.630499565294</v>
      </c>
      <c r="O4" s="461">
        <f>huishoudens!O8</f>
        <v>126.63</v>
      </c>
      <c r="P4" s="462">
        <f>huishoudens!P8</f>
        <v>495.73333333333335</v>
      </c>
      <c r="Q4" s="463">
        <f>SUM(B4:P4)</f>
        <v>148005.70466253237</v>
      </c>
    </row>
    <row r="5" spans="1:17">
      <c r="A5" s="460" t="s">
        <v>156</v>
      </c>
      <c r="B5" s="461">
        <f ca="1">tertiair!B16</f>
        <v>16681.875</v>
      </c>
      <c r="C5" s="461">
        <f ca="1">tertiair!C16</f>
        <v>0</v>
      </c>
      <c r="D5" s="461">
        <f ca="1">tertiair!D16</f>
        <v>36581.518314000008</v>
      </c>
      <c r="E5" s="461">
        <f>tertiair!E16</f>
        <v>318.54561787843602</v>
      </c>
      <c r="F5" s="461">
        <f ca="1">tertiair!F16</f>
        <v>3126.7502765704889</v>
      </c>
      <c r="G5" s="461">
        <f>tertiair!G16</f>
        <v>0</v>
      </c>
      <c r="H5" s="461">
        <f>tertiair!H16</f>
        <v>0</v>
      </c>
      <c r="I5" s="461">
        <f>tertiair!I16</f>
        <v>0</v>
      </c>
      <c r="J5" s="461">
        <f>tertiair!J16</f>
        <v>0</v>
      </c>
      <c r="K5" s="461">
        <f>tertiair!K16</f>
        <v>0</v>
      </c>
      <c r="L5" s="461">
        <f ca="1">tertiair!L16</f>
        <v>0</v>
      </c>
      <c r="M5" s="461">
        <f>tertiair!M16</f>
        <v>0</v>
      </c>
      <c r="N5" s="461">
        <f ca="1">tertiair!N16</f>
        <v>383.84643102042435</v>
      </c>
      <c r="O5" s="461">
        <f>tertiair!O16</f>
        <v>1.5633333333333335</v>
      </c>
      <c r="P5" s="462">
        <f>tertiair!P16</f>
        <v>0</v>
      </c>
      <c r="Q5" s="460">
        <f t="shared" ref="Q5:Q13" ca="1" si="0">SUM(B5:P5)</f>
        <v>57094.098972802691</v>
      </c>
    </row>
    <row r="6" spans="1:17">
      <c r="A6" s="460" t="s">
        <v>195</v>
      </c>
      <c r="B6" s="461">
        <f>'openbare verlichting'!B8</f>
        <v>1071.3620000000001</v>
      </c>
      <c r="C6" s="461"/>
      <c r="D6" s="461"/>
      <c r="E6" s="461"/>
      <c r="F6" s="461"/>
      <c r="G6" s="461"/>
      <c r="H6" s="461"/>
      <c r="I6" s="461"/>
      <c r="J6" s="461"/>
      <c r="K6" s="461"/>
      <c r="L6" s="461"/>
      <c r="M6" s="461"/>
      <c r="N6" s="461"/>
      <c r="O6" s="461"/>
      <c r="P6" s="462"/>
      <c r="Q6" s="460">
        <f t="shared" si="0"/>
        <v>1071.3620000000001</v>
      </c>
    </row>
    <row r="7" spans="1:17">
      <c r="A7" s="460" t="s">
        <v>112</v>
      </c>
      <c r="B7" s="461">
        <f>landbouw!B8</f>
        <v>4038.5819999999999</v>
      </c>
      <c r="C7" s="461">
        <f>landbouw!C8</f>
        <v>0</v>
      </c>
      <c r="D7" s="461">
        <f>landbouw!D8</f>
        <v>43.391612000000002</v>
      </c>
      <c r="E7" s="461">
        <f>landbouw!E8</f>
        <v>42.292905021348545</v>
      </c>
      <c r="F7" s="461">
        <f>landbouw!F8</f>
        <v>20742.800192260704</v>
      </c>
      <c r="G7" s="461">
        <f>landbouw!G8</f>
        <v>0</v>
      </c>
      <c r="H7" s="461">
        <f>landbouw!H8</f>
        <v>0</v>
      </c>
      <c r="I7" s="461">
        <f>landbouw!I8</f>
        <v>0</v>
      </c>
      <c r="J7" s="461">
        <f>landbouw!J8</f>
        <v>360.68157102799893</v>
      </c>
      <c r="K7" s="461">
        <f>landbouw!K8</f>
        <v>0</v>
      </c>
      <c r="L7" s="461">
        <f>landbouw!L8</f>
        <v>0</v>
      </c>
      <c r="M7" s="461">
        <f>landbouw!M8</f>
        <v>0</v>
      </c>
      <c r="N7" s="461">
        <f>landbouw!N8</f>
        <v>0</v>
      </c>
      <c r="O7" s="461">
        <f>landbouw!O8</f>
        <v>0</v>
      </c>
      <c r="P7" s="462">
        <f>landbouw!P8</f>
        <v>0</v>
      </c>
      <c r="Q7" s="460">
        <f t="shared" si="0"/>
        <v>25227.74828031005</v>
      </c>
    </row>
    <row r="8" spans="1:17">
      <c r="A8" s="460" t="s">
        <v>656</v>
      </c>
      <c r="B8" s="461">
        <f>industrie!B18</f>
        <v>7033.3309999999992</v>
      </c>
      <c r="C8" s="461">
        <f>industrie!C18</f>
        <v>0</v>
      </c>
      <c r="D8" s="461">
        <f>industrie!D18</f>
        <v>2380.5502820000002</v>
      </c>
      <c r="E8" s="461">
        <f>industrie!E18</f>
        <v>108.82576289501054</v>
      </c>
      <c r="F8" s="461">
        <f>industrie!F18</f>
        <v>2347.0876368616591</v>
      </c>
      <c r="G8" s="461">
        <f>industrie!G18</f>
        <v>0</v>
      </c>
      <c r="H8" s="461">
        <f>industrie!H18</f>
        <v>0</v>
      </c>
      <c r="I8" s="461">
        <f>industrie!I18</f>
        <v>0</v>
      </c>
      <c r="J8" s="461">
        <f>industrie!J18</f>
        <v>8.5461228974921895</v>
      </c>
      <c r="K8" s="461">
        <f>industrie!K18</f>
        <v>0</v>
      </c>
      <c r="L8" s="461">
        <f>industrie!L18</f>
        <v>0</v>
      </c>
      <c r="M8" s="461">
        <f>industrie!M18</f>
        <v>0</v>
      </c>
      <c r="N8" s="461">
        <f>industrie!N18</f>
        <v>193.01962520171773</v>
      </c>
      <c r="O8" s="461">
        <f>industrie!O18</f>
        <v>0</v>
      </c>
      <c r="P8" s="462">
        <f>industrie!P18</f>
        <v>0</v>
      </c>
      <c r="Q8" s="460">
        <f t="shared" si="0"/>
        <v>12071.360429855878</v>
      </c>
    </row>
    <row r="9" spans="1:17" s="466" customFormat="1">
      <c r="A9" s="464" t="s">
        <v>574</v>
      </c>
      <c r="B9" s="465">
        <f>transport!B14</f>
        <v>0.99588275814603444</v>
      </c>
      <c r="C9" s="465">
        <f>transport!C14</f>
        <v>0</v>
      </c>
      <c r="D9" s="465">
        <f>transport!D14</f>
        <v>5.3869268077201653</v>
      </c>
      <c r="E9" s="465">
        <f>transport!E14</f>
        <v>538.12580357156594</v>
      </c>
      <c r="F9" s="465">
        <f>transport!F14</f>
        <v>0</v>
      </c>
      <c r="G9" s="465">
        <f>transport!G14</f>
        <v>84304.064813957768</v>
      </c>
      <c r="H9" s="465">
        <f>transport!H14</f>
        <v>17778.835681449356</v>
      </c>
      <c r="I9" s="465">
        <f>transport!I14</f>
        <v>0</v>
      </c>
      <c r="J9" s="465">
        <f>transport!J14</f>
        <v>0</v>
      </c>
      <c r="K9" s="465">
        <f>transport!K14</f>
        <v>0</v>
      </c>
      <c r="L9" s="465">
        <f>transport!L14</f>
        <v>0</v>
      </c>
      <c r="M9" s="465">
        <f>transport!M14</f>
        <v>4462.9832273314778</v>
      </c>
      <c r="N9" s="465">
        <f>transport!N14</f>
        <v>0</v>
      </c>
      <c r="O9" s="465">
        <f>transport!O14</f>
        <v>0</v>
      </c>
      <c r="P9" s="465">
        <f>transport!P14</f>
        <v>0</v>
      </c>
      <c r="Q9" s="464">
        <f>SUM(B9:P9)</f>
        <v>107090.39233587604</v>
      </c>
    </row>
    <row r="10" spans="1:17">
      <c r="A10" s="460" t="s">
        <v>564</v>
      </c>
      <c r="B10" s="461">
        <f>transport!B54</f>
        <v>0</v>
      </c>
      <c r="C10" s="461">
        <f>transport!C54</f>
        <v>0</v>
      </c>
      <c r="D10" s="461">
        <f>transport!D54</f>
        <v>0</v>
      </c>
      <c r="E10" s="461">
        <f>transport!E54</f>
        <v>0</v>
      </c>
      <c r="F10" s="461">
        <f>transport!F54</f>
        <v>0</v>
      </c>
      <c r="G10" s="461">
        <f>transport!G54</f>
        <v>2914.6942354944704</v>
      </c>
      <c r="H10" s="461">
        <f>transport!H54</f>
        <v>0</v>
      </c>
      <c r="I10" s="461">
        <f>transport!I54</f>
        <v>0</v>
      </c>
      <c r="J10" s="461">
        <f>transport!J54</f>
        <v>0</v>
      </c>
      <c r="K10" s="461">
        <f>transport!K54</f>
        <v>0</v>
      </c>
      <c r="L10" s="461">
        <f>transport!L54</f>
        <v>0</v>
      </c>
      <c r="M10" s="461">
        <f>transport!M54</f>
        <v>124.24075243832378</v>
      </c>
      <c r="N10" s="461">
        <f>transport!N54</f>
        <v>0</v>
      </c>
      <c r="O10" s="461">
        <f>transport!O54</f>
        <v>0</v>
      </c>
      <c r="P10" s="462">
        <f>transport!P54</f>
        <v>0</v>
      </c>
      <c r="Q10" s="460">
        <f t="shared" si="0"/>
        <v>3038.9349879327942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61479.79409616124</v>
      </c>
      <c r="C14" s="471">
        <f t="shared" ref="C14:Q14" ca="1" si="1">SUM(C4:C13)</f>
        <v>0</v>
      </c>
      <c r="D14" s="471">
        <f t="shared" ca="1" si="1"/>
        <v>77284.435366807738</v>
      </c>
      <c r="E14" s="471">
        <f t="shared" si="1"/>
        <v>5266.586811079731</v>
      </c>
      <c r="F14" s="471">
        <f t="shared" ca="1" si="1"/>
        <v>81630.315768210101</v>
      </c>
      <c r="G14" s="471">
        <f t="shared" si="1"/>
        <v>87218.759049452245</v>
      </c>
      <c r="H14" s="471">
        <f t="shared" si="1"/>
        <v>17778.835681449356</v>
      </c>
      <c r="I14" s="471">
        <f t="shared" si="1"/>
        <v>0</v>
      </c>
      <c r="J14" s="471">
        <f t="shared" si="1"/>
        <v>369.22769392549111</v>
      </c>
      <c r="K14" s="471">
        <f t="shared" si="1"/>
        <v>0</v>
      </c>
      <c r="L14" s="471">
        <f t="shared" ca="1" si="1"/>
        <v>0</v>
      </c>
      <c r="M14" s="471">
        <f t="shared" si="1"/>
        <v>4587.2239797698012</v>
      </c>
      <c r="N14" s="471">
        <f t="shared" ca="1" si="1"/>
        <v>17360.496555787438</v>
      </c>
      <c r="O14" s="471">
        <f t="shared" si="1"/>
        <v>128.19333333333333</v>
      </c>
      <c r="P14" s="472">
        <f t="shared" si="1"/>
        <v>495.73333333333335</v>
      </c>
      <c r="Q14" s="472">
        <f t="shared" ca="1" si="1"/>
        <v>353599.60166930978</v>
      </c>
    </row>
    <row r="16" spans="1:17">
      <c r="A16" s="474" t="s">
        <v>569</v>
      </c>
      <c r="B16" s="828">
        <f ca="1">huishoudens!B10</f>
        <v>0.20608490804710736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6729.4240894617687</v>
      </c>
      <c r="C21" s="461">
        <f t="shared" ref="C21:C30" ca="1" si="3">C4*$C$16</f>
        <v>0</v>
      </c>
      <c r="D21" s="461">
        <f t="shared" ref="D21:D30" si="4">D4*$D$16</f>
        <v>7731.264822864001</v>
      </c>
      <c r="E21" s="461">
        <f t="shared" ref="E21:E30" si="5">E4*$E$16</f>
        <v>966.74685582893505</v>
      </c>
      <c r="F21" s="461">
        <f t="shared" ref="F21:F30" si="6">F4*$F$16</f>
        <v>14795.451935892104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30222.887704046807</v>
      </c>
    </row>
    <row r="22" spans="1:17">
      <c r="A22" s="460" t="s">
        <v>156</v>
      </c>
      <c r="B22" s="461">
        <f t="shared" ca="1" si="2"/>
        <v>3437.8826754283391</v>
      </c>
      <c r="C22" s="461">
        <f t="shared" ca="1" si="3"/>
        <v>0</v>
      </c>
      <c r="D22" s="461">
        <f t="shared" ca="1" si="4"/>
        <v>7389.4666994280024</v>
      </c>
      <c r="E22" s="461">
        <f t="shared" si="5"/>
        <v>72.30985525840498</v>
      </c>
      <c r="F22" s="461">
        <f t="shared" ca="1" si="6"/>
        <v>834.84232384432062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11734.501553959068</v>
      </c>
    </row>
    <row r="23" spans="1:17">
      <c r="A23" s="460" t="s">
        <v>195</v>
      </c>
      <c r="B23" s="461">
        <f t="shared" ca="1" si="2"/>
        <v>220.79153925516505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220.79153925516505</v>
      </c>
    </row>
    <row r="24" spans="1:17">
      <c r="A24" s="460" t="s">
        <v>112</v>
      </c>
      <c r="B24" s="461">
        <f t="shared" ca="1" si="2"/>
        <v>832.29080011070289</v>
      </c>
      <c r="C24" s="461">
        <f t="shared" ca="1" si="3"/>
        <v>0</v>
      </c>
      <c r="D24" s="461">
        <f t="shared" si="4"/>
        <v>8.7651056240000003</v>
      </c>
      <c r="E24" s="461">
        <f t="shared" si="5"/>
        <v>9.60048943984612</v>
      </c>
      <c r="F24" s="461">
        <f t="shared" si="6"/>
        <v>5538.3276513336086</v>
      </c>
      <c r="G24" s="461">
        <f t="shared" si="7"/>
        <v>0</v>
      </c>
      <c r="H24" s="461">
        <f t="shared" si="8"/>
        <v>0</v>
      </c>
      <c r="I24" s="461">
        <f t="shared" si="9"/>
        <v>0</v>
      </c>
      <c r="J24" s="461">
        <f t="shared" si="10"/>
        <v>127.68127614391162</v>
      </c>
      <c r="K24" s="461">
        <f t="shared" si="11"/>
        <v>0</v>
      </c>
      <c r="L24" s="461">
        <f t="shared" si="12"/>
        <v>0</v>
      </c>
      <c r="M24" s="461">
        <f t="shared" si="13"/>
        <v>0</v>
      </c>
      <c r="N24" s="461">
        <f t="shared" si="14"/>
        <v>0</v>
      </c>
      <c r="O24" s="461">
        <f t="shared" si="15"/>
        <v>0</v>
      </c>
      <c r="P24" s="462">
        <f t="shared" si="16"/>
        <v>0</v>
      </c>
      <c r="Q24" s="460">
        <f t="shared" ca="1" si="17"/>
        <v>6516.6653226520693</v>
      </c>
    </row>
    <row r="25" spans="1:17">
      <c r="A25" s="460" t="s">
        <v>656</v>
      </c>
      <c r="B25" s="461">
        <f t="shared" ca="1" si="2"/>
        <v>1449.4633723998695</v>
      </c>
      <c r="C25" s="461">
        <f t="shared" ca="1" si="3"/>
        <v>0</v>
      </c>
      <c r="D25" s="461">
        <f t="shared" si="4"/>
        <v>480.87115696400008</v>
      </c>
      <c r="E25" s="461">
        <f t="shared" si="5"/>
        <v>24.703448177167395</v>
      </c>
      <c r="F25" s="461">
        <f t="shared" si="6"/>
        <v>626.67239904206303</v>
      </c>
      <c r="G25" s="461">
        <f t="shared" si="7"/>
        <v>0</v>
      </c>
      <c r="H25" s="461">
        <f t="shared" si="8"/>
        <v>0</v>
      </c>
      <c r="I25" s="461">
        <f t="shared" si="9"/>
        <v>0</v>
      </c>
      <c r="J25" s="461">
        <f t="shared" si="10"/>
        <v>3.0253275057122351</v>
      </c>
      <c r="K25" s="461">
        <f t="shared" si="11"/>
        <v>0</v>
      </c>
      <c r="L25" s="461">
        <f t="shared" si="12"/>
        <v>0</v>
      </c>
      <c r="M25" s="461">
        <f t="shared" si="13"/>
        <v>0</v>
      </c>
      <c r="N25" s="461">
        <f t="shared" si="14"/>
        <v>0</v>
      </c>
      <c r="O25" s="461">
        <f t="shared" si="15"/>
        <v>0</v>
      </c>
      <c r="P25" s="462">
        <f t="shared" si="16"/>
        <v>0</v>
      </c>
      <c r="Q25" s="460">
        <f t="shared" ca="1" si="17"/>
        <v>2584.7357040888119</v>
      </c>
    </row>
    <row r="26" spans="1:17" s="466" customFormat="1">
      <c r="A26" s="464" t="s">
        <v>574</v>
      </c>
      <c r="B26" s="822">
        <f t="shared" ca="1" si="2"/>
        <v>0.20523640663822515</v>
      </c>
      <c r="C26" s="465">
        <f t="shared" ca="1" si="3"/>
        <v>0</v>
      </c>
      <c r="D26" s="465">
        <f t="shared" si="4"/>
        <v>1.0881592151594734</v>
      </c>
      <c r="E26" s="465">
        <f t="shared" si="5"/>
        <v>122.15455741074547</v>
      </c>
      <c r="F26" s="465">
        <f t="shared" si="6"/>
        <v>0</v>
      </c>
      <c r="G26" s="465">
        <f t="shared" si="7"/>
        <v>22509.185305326726</v>
      </c>
      <c r="H26" s="465">
        <f t="shared" si="8"/>
        <v>4426.9300846808901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27059.563343040161</v>
      </c>
    </row>
    <row r="27" spans="1:17">
      <c r="A27" s="460" t="s">
        <v>564</v>
      </c>
      <c r="B27" s="461">
        <f t="shared" ca="1" si="2"/>
        <v>0</v>
      </c>
      <c r="C27" s="461">
        <f t="shared" ca="1" si="3"/>
        <v>0</v>
      </c>
      <c r="D27" s="461">
        <f t="shared" si="4"/>
        <v>0</v>
      </c>
      <c r="E27" s="461">
        <f t="shared" si="5"/>
        <v>0</v>
      </c>
      <c r="F27" s="461">
        <f t="shared" si="6"/>
        <v>0</v>
      </c>
      <c r="G27" s="461">
        <f t="shared" si="7"/>
        <v>778.22336087702365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778.22336087702365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12670.057713062486</v>
      </c>
      <c r="C31" s="471">
        <f t="shared" ca="1" si="18"/>
        <v>0</v>
      </c>
      <c r="D31" s="471">
        <f t="shared" ca="1" si="18"/>
        <v>15611.455944095163</v>
      </c>
      <c r="E31" s="471">
        <f t="shared" si="18"/>
        <v>1195.5152061150991</v>
      </c>
      <c r="F31" s="471">
        <f t="shared" ca="1" si="18"/>
        <v>21795.294310112095</v>
      </c>
      <c r="G31" s="471">
        <f t="shared" si="18"/>
        <v>23287.408666203748</v>
      </c>
      <c r="H31" s="471">
        <f t="shared" si="18"/>
        <v>4426.9300846808901</v>
      </c>
      <c r="I31" s="471">
        <f t="shared" si="18"/>
        <v>0</v>
      </c>
      <c r="J31" s="471">
        <f t="shared" si="18"/>
        <v>130.70660364962384</v>
      </c>
      <c r="K31" s="471">
        <f t="shared" si="18"/>
        <v>0</v>
      </c>
      <c r="L31" s="471">
        <f t="shared" ca="1" si="18"/>
        <v>0</v>
      </c>
      <c r="M31" s="471">
        <f t="shared" si="18"/>
        <v>0</v>
      </c>
      <c r="N31" s="471">
        <f t="shared" ca="1" si="18"/>
        <v>0</v>
      </c>
      <c r="O31" s="471">
        <f t="shared" si="18"/>
        <v>0</v>
      </c>
      <c r="P31" s="472">
        <f t="shared" si="18"/>
        <v>0</v>
      </c>
      <c r="Q31" s="472">
        <f t="shared" ca="1" si="18"/>
        <v>79117.368527919098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0.20608490804710736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0.20608490804710736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0.20608490804710736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6297</v>
      </c>
      <c r="C9" s="336">
        <v>6709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5164</v>
      </c>
    </row>
    <row r="15" spans="1:6">
      <c r="A15" s="1194" t="s">
        <v>185</v>
      </c>
      <c r="B15" s="333">
        <v>1676</v>
      </c>
    </row>
    <row r="16" spans="1:6">
      <c r="A16" s="1194" t="s">
        <v>6</v>
      </c>
      <c r="B16" s="333">
        <v>3651</v>
      </c>
    </row>
    <row r="17" spans="1:6">
      <c r="A17" s="1194" t="s">
        <v>7</v>
      </c>
      <c r="B17" s="333">
        <v>690</v>
      </c>
    </row>
    <row r="18" spans="1:6">
      <c r="A18" s="1194" t="s">
        <v>8</v>
      </c>
      <c r="B18" s="333">
        <v>2147</v>
      </c>
    </row>
    <row r="19" spans="1:6">
      <c r="A19" s="1194" t="s">
        <v>9</v>
      </c>
      <c r="B19" s="333">
        <v>2035</v>
      </c>
    </row>
    <row r="20" spans="1:6">
      <c r="A20" s="1194" t="s">
        <v>10</v>
      </c>
      <c r="B20" s="333">
        <v>1523</v>
      </c>
    </row>
    <row r="21" spans="1:6">
      <c r="A21" s="1194" t="s">
        <v>11</v>
      </c>
      <c r="B21" s="333">
        <v>8995</v>
      </c>
    </row>
    <row r="22" spans="1:6">
      <c r="A22" s="1194" t="s">
        <v>12</v>
      </c>
      <c r="B22" s="333">
        <v>22939</v>
      </c>
    </row>
    <row r="23" spans="1:6">
      <c r="A23" s="1194" t="s">
        <v>13</v>
      </c>
      <c r="B23" s="333">
        <v>784</v>
      </c>
    </row>
    <row r="24" spans="1:6">
      <c r="A24" s="1194" t="s">
        <v>14</v>
      </c>
      <c r="B24" s="333">
        <v>30</v>
      </c>
    </row>
    <row r="25" spans="1:6">
      <c r="A25" s="1194" t="s">
        <v>15</v>
      </c>
      <c r="B25" s="333">
        <v>4219</v>
      </c>
    </row>
    <row r="26" spans="1:6">
      <c r="A26" s="1194" t="s">
        <v>16</v>
      </c>
      <c r="B26" s="333">
        <v>190</v>
      </c>
    </row>
    <row r="27" spans="1:6">
      <c r="A27" s="1194" t="s">
        <v>17</v>
      </c>
      <c r="B27" s="333">
        <v>1161</v>
      </c>
    </row>
    <row r="28" spans="1:6">
      <c r="A28" s="1194" t="s">
        <v>18</v>
      </c>
      <c r="B28" s="333">
        <v>309134</v>
      </c>
    </row>
    <row r="29" spans="1:6">
      <c r="A29" s="1194" t="s">
        <v>888</v>
      </c>
      <c r="B29" s="333">
        <v>386</v>
      </c>
    </row>
    <row r="30" spans="1:6">
      <c r="A30" s="1190" t="s">
        <v>889</v>
      </c>
      <c r="B30" s="1190">
        <v>96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16</v>
      </c>
      <c r="F36" s="333">
        <v>23740</v>
      </c>
    </row>
    <row r="37" spans="1:6">
      <c r="A37" s="1194" t="s">
        <v>25</v>
      </c>
      <c r="B37" s="1194" t="s">
        <v>28</v>
      </c>
      <c r="C37" s="333">
        <v>0</v>
      </c>
      <c r="D37" s="333">
        <v>0</v>
      </c>
      <c r="E37" s="333">
        <v>0</v>
      </c>
      <c r="F37" s="333">
        <v>0</v>
      </c>
    </row>
    <row r="38" spans="1:6">
      <c r="A38" s="1194" t="s">
        <v>25</v>
      </c>
      <c r="B38" s="1194" t="s">
        <v>29</v>
      </c>
      <c r="C38" s="333">
        <v>1</v>
      </c>
      <c r="D38" s="333">
        <v>203426</v>
      </c>
      <c r="E38" s="333">
        <v>2</v>
      </c>
      <c r="F38" s="333">
        <v>34319</v>
      </c>
    </row>
    <row r="39" spans="1:6">
      <c r="A39" s="1194" t="s">
        <v>30</v>
      </c>
      <c r="B39" s="1194" t="s">
        <v>31</v>
      </c>
      <c r="C39" s="333">
        <v>2545</v>
      </c>
      <c r="D39" s="333">
        <v>42431916</v>
      </c>
      <c r="E39" s="333">
        <v>6290</v>
      </c>
      <c r="F39" s="333">
        <v>29514022</v>
      </c>
    </row>
    <row r="40" spans="1:6">
      <c r="A40" s="1194" t="s">
        <v>30</v>
      </c>
      <c r="B40" s="1194" t="s">
        <v>29</v>
      </c>
      <c r="C40" s="333">
        <v>0</v>
      </c>
      <c r="D40" s="333">
        <v>0</v>
      </c>
      <c r="E40" s="333">
        <v>0</v>
      </c>
      <c r="F40" s="333">
        <v>0</v>
      </c>
    </row>
    <row r="41" spans="1:6">
      <c r="A41" s="1194" t="s">
        <v>32</v>
      </c>
      <c r="B41" s="1194" t="s">
        <v>33</v>
      </c>
      <c r="C41" s="333">
        <v>29</v>
      </c>
      <c r="D41" s="333">
        <v>1570833</v>
      </c>
      <c r="E41" s="333">
        <v>83</v>
      </c>
      <c r="F41" s="333">
        <v>2313860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6</v>
      </c>
      <c r="D44" s="333">
        <v>255950</v>
      </c>
      <c r="E44" s="333">
        <v>16</v>
      </c>
      <c r="F44" s="333">
        <v>267218</v>
      </c>
    </row>
    <row r="45" spans="1:6">
      <c r="A45" s="1194" t="s">
        <v>32</v>
      </c>
      <c r="B45" s="1194" t="s">
        <v>37</v>
      </c>
      <c r="C45" s="333">
        <v>0</v>
      </c>
      <c r="D45" s="333">
        <v>0</v>
      </c>
      <c r="E45" s="333">
        <v>6</v>
      </c>
      <c r="F45" s="333">
        <v>186692</v>
      </c>
    </row>
    <row r="46" spans="1:6">
      <c r="A46" s="1194" t="s">
        <v>32</v>
      </c>
      <c r="B46" s="1194" t="s">
        <v>38</v>
      </c>
      <c r="C46" s="333">
        <v>0</v>
      </c>
      <c r="D46" s="333">
        <v>0</v>
      </c>
      <c r="E46" s="333">
        <v>0</v>
      </c>
      <c r="F46" s="333">
        <v>0</v>
      </c>
    </row>
    <row r="47" spans="1:6">
      <c r="A47" s="1194" t="s">
        <v>32</v>
      </c>
      <c r="B47" s="1194" t="s">
        <v>39</v>
      </c>
      <c r="C47" s="333">
        <v>0</v>
      </c>
      <c r="D47" s="333">
        <v>0</v>
      </c>
      <c r="E47" s="333">
        <v>4</v>
      </c>
      <c r="F47" s="333">
        <v>1802443</v>
      </c>
    </row>
    <row r="48" spans="1:6">
      <c r="A48" s="1194" t="s">
        <v>32</v>
      </c>
      <c r="B48" s="1194" t="s">
        <v>29</v>
      </c>
      <c r="C48" s="333">
        <v>4</v>
      </c>
      <c r="D48" s="333">
        <v>645636</v>
      </c>
      <c r="E48" s="333">
        <v>3</v>
      </c>
      <c r="F48" s="333">
        <v>124039</v>
      </c>
    </row>
    <row r="49" spans="1:6">
      <c r="A49" s="1194" t="s">
        <v>32</v>
      </c>
      <c r="B49" s="1194" t="s">
        <v>40</v>
      </c>
      <c r="C49" s="333">
        <v>0</v>
      </c>
      <c r="D49" s="333">
        <v>0</v>
      </c>
      <c r="E49" s="333">
        <v>3</v>
      </c>
      <c r="F49" s="333">
        <v>2113658</v>
      </c>
    </row>
    <row r="50" spans="1:6">
      <c r="A50" s="1194" t="s">
        <v>32</v>
      </c>
      <c r="B50" s="1194" t="s">
        <v>41</v>
      </c>
      <c r="C50" s="333">
        <v>3</v>
      </c>
      <c r="D50" s="333">
        <v>166772</v>
      </c>
      <c r="E50" s="333">
        <v>8</v>
      </c>
      <c r="F50" s="333">
        <v>225421</v>
      </c>
    </row>
    <row r="51" spans="1:6">
      <c r="A51" s="1194" t="s">
        <v>42</v>
      </c>
      <c r="B51" s="1194" t="s">
        <v>43</v>
      </c>
      <c r="C51" s="333">
        <v>0</v>
      </c>
      <c r="D51" s="333">
        <v>0</v>
      </c>
      <c r="E51" s="333">
        <v>165</v>
      </c>
      <c r="F51" s="333">
        <v>4038582</v>
      </c>
    </row>
    <row r="52" spans="1:6">
      <c r="A52" s="1194" t="s">
        <v>42</v>
      </c>
      <c r="B52" s="1194" t="s">
        <v>29</v>
      </c>
      <c r="C52" s="333">
        <v>2</v>
      </c>
      <c r="D52" s="333">
        <v>48106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106</v>
      </c>
      <c r="F54" s="333">
        <v>1071362</v>
      </c>
    </row>
    <row r="55" spans="1:6">
      <c r="A55" s="1194" t="s">
        <v>46</v>
      </c>
      <c r="B55" s="1194" t="s">
        <v>29</v>
      </c>
      <c r="C55" s="333">
        <v>0</v>
      </c>
      <c r="D55" s="333">
        <v>0</v>
      </c>
      <c r="E55" s="333">
        <v>0</v>
      </c>
      <c r="F55" s="333">
        <v>0</v>
      </c>
    </row>
    <row r="56" spans="1:6">
      <c r="A56" s="1194" t="s">
        <v>48</v>
      </c>
      <c r="B56" s="1194" t="s">
        <v>29</v>
      </c>
      <c r="C56" s="333">
        <v>40</v>
      </c>
      <c r="D56" s="333">
        <v>1671349</v>
      </c>
      <c r="E56" s="333">
        <v>142</v>
      </c>
      <c r="F56" s="333">
        <v>13267729</v>
      </c>
    </row>
    <row r="57" spans="1:6">
      <c r="A57" s="1194" t="s">
        <v>49</v>
      </c>
      <c r="B57" s="1194" t="s">
        <v>50</v>
      </c>
      <c r="C57" s="333">
        <v>13</v>
      </c>
      <c r="D57" s="333">
        <v>499576</v>
      </c>
      <c r="E57" s="333">
        <v>75</v>
      </c>
      <c r="F57" s="333">
        <v>1410304</v>
      </c>
    </row>
    <row r="58" spans="1:6">
      <c r="A58" s="1194" t="s">
        <v>49</v>
      </c>
      <c r="B58" s="1194" t="s">
        <v>51</v>
      </c>
      <c r="C58" s="333">
        <v>12</v>
      </c>
      <c r="D58" s="333">
        <v>3498610</v>
      </c>
      <c r="E58" s="333">
        <v>31</v>
      </c>
      <c r="F58" s="333">
        <v>1574361</v>
      </c>
    </row>
    <row r="59" spans="1:6">
      <c r="A59" s="1194" t="s">
        <v>49</v>
      </c>
      <c r="B59" s="1194" t="s">
        <v>52</v>
      </c>
      <c r="C59" s="333">
        <v>41</v>
      </c>
      <c r="D59" s="333">
        <v>3570490</v>
      </c>
      <c r="E59" s="333">
        <v>173</v>
      </c>
      <c r="F59" s="333">
        <v>6375243</v>
      </c>
    </row>
    <row r="60" spans="1:6">
      <c r="A60" s="1194" t="s">
        <v>49</v>
      </c>
      <c r="B60" s="1194" t="s">
        <v>53</v>
      </c>
      <c r="C60" s="333">
        <v>35</v>
      </c>
      <c r="D60" s="333">
        <v>27315043</v>
      </c>
      <c r="E60" s="333">
        <v>56</v>
      </c>
      <c r="F60" s="333">
        <v>1605771</v>
      </c>
    </row>
    <row r="61" spans="1:6">
      <c r="A61" s="1194" t="s">
        <v>49</v>
      </c>
      <c r="B61" s="1194" t="s">
        <v>54</v>
      </c>
      <c r="C61" s="333">
        <v>91</v>
      </c>
      <c r="D61" s="333">
        <v>3754137</v>
      </c>
      <c r="E61" s="333">
        <v>233</v>
      </c>
      <c r="F61" s="333">
        <v>5304121</v>
      </c>
    </row>
    <row r="62" spans="1:6">
      <c r="A62" s="1194" t="s">
        <v>49</v>
      </c>
      <c r="B62" s="1194" t="s">
        <v>55</v>
      </c>
      <c r="C62" s="333">
        <v>9</v>
      </c>
      <c r="D62" s="333">
        <v>1918151</v>
      </c>
      <c r="E62" s="333">
        <v>12</v>
      </c>
      <c r="F62" s="333">
        <v>412075</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3</v>
      </c>
      <c r="D65" s="333">
        <v>73914</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223349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84711105</v>
      </c>
      <c r="E73" s="333">
        <v>87573387.122335836</v>
      </c>
      <c r="F73" s="333">
        <v>84890438</v>
      </c>
    </row>
    <row r="74" spans="1:6">
      <c r="A74" s="1194" t="s">
        <v>64</v>
      </c>
      <c r="B74" s="1194" t="s">
        <v>775</v>
      </c>
      <c r="C74" s="1205" t="s">
        <v>776</v>
      </c>
      <c r="D74" s="333">
        <v>6666533.4366574688</v>
      </c>
      <c r="E74" s="333">
        <v>7094371.0598303182</v>
      </c>
      <c r="F74" s="333">
        <v>6833264.1722085355</v>
      </c>
    </row>
    <row r="75" spans="1:6">
      <c r="A75" s="1194" t="s">
        <v>65</v>
      </c>
      <c r="B75" s="1194" t="s">
        <v>773</v>
      </c>
      <c r="C75" s="1205" t="s">
        <v>777</v>
      </c>
      <c r="D75" s="333">
        <v>40023267</v>
      </c>
      <c r="E75" s="333">
        <v>41433013.003997959</v>
      </c>
      <c r="F75" s="333">
        <v>40128997</v>
      </c>
    </row>
    <row r="76" spans="1:6">
      <c r="A76" s="1194" t="s">
        <v>65</v>
      </c>
      <c r="B76" s="1194" t="s">
        <v>775</v>
      </c>
      <c r="C76" s="1205" t="s">
        <v>778</v>
      </c>
      <c r="D76" s="333">
        <v>632577.43665746879</v>
      </c>
      <c r="E76" s="333">
        <v>733583.4370796174</v>
      </c>
      <c r="F76" s="333">
        <v>684749.17220853548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799131.12668506254</v>
      </c>
      <c r="C83" s="333">
        <v>730713.24060597667</v>
      </c>
      <c r="D83" s="333">
        <v>743385.65558292891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3139.6262134030976</v>
      </c>
    </row>
    <row r="92" spans="1:6">
      <c r="A92" s="1190" t="s">
        <v>69</v>
      </c>
      <c r="B92" s="336">
        <v>1009.5899955975933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903</v>
      </c>
    </row>
    <row r="98" spans="1:6">
      <c r="A98" s="1194" t="s">
        <v>72</v>
      </c>
      <c r="B98" s="333">
        <v>5</v>
      </c>
    </row>
    <row r="99" spans="1:6">
      <c r="A99" s="1194" t="s">
        <v>73</v>
      </c>
      <c r="B99" s="333">
        <v>58</v>
      </c>
    </row>
    <row r="100" spans="1:6">
      <c r="A100" s="1194" t="s">
        <v>74</v>
      </c>
      <c r="B100" s="333">
        <v>226</v>
      </c>
    </row>
    <row r="101" spans="1:6">
      <c r="A101" s="1194" t="s">
        <v>75</v>
      </c>
      <c r="B101" s="333">
        <v>79</v>
      </c>
    </row>
    <row r="102" spans="1:6">
      <c r="A102" s="1194" t="s">
        <v>76</v>
      </c>
      <c r="B102" s="333">
        <v>57</v>
      </c>
    </row>
    <row r="103" spans="1:6">
      <c r="A103" s="1194" t="s">
        <v>77</v>
      </c>
      <c r="B103" s="333">
        <v>102</v>
      </c>
    </row>
    <row r="104" spans="1:6">
      <c r="A104" s="1194" t="s">
        <v>78</v>
      </c>
      <c r="B104" s="333">
        <v>3908</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72</v>
      </c>
    </row>
    <row r="130" spans="1:6">
      <c r="A130" s="1194" t="s">
        <v>296</v>
      </c>
      <c r="B130" s="333">
        <v>1</v>
      </c>
    </row>
    <row r="131" spans="1:6">
      <c r="A131" s="1194" t="s">
        <v>297</v>
      </c>
      <c r="B131" s="333">
        <v>0</v>
      </c>
    </row>
    <row r="132" spans="1:6">
      <c r="A132" s="1190" t="s">
        <v>298</v>
      </c>
      <c r="B132" s="336">
        <v>16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61479.794096161248</v>
      </c>
      <c r="C3" s="43" t="s">
        <v>171</v>
      </c>
      <c r="D3" s="43"/>
      <c r="E3" s="156"/>
      <c r="F3" s="43"/>
      <c r="G3" s="43"/>
      <c r="H3" s="43"/>
      <c r="I3" s="43"/>
      <c r="J3" s="43"/>
      <c r="K3" s="96"/>
    </row>
    <row r="4" spans="1:11">
      <c r="A4" s="364" t="s">
        <v>172</v>
      </c>
      <c r="B4" s="49">
        <f>IF(ISERROR('SEAP template'!B69),0,'SEAP template'!B69)</f>
        <v>4149.2162090006914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0.20608490804710736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1071.3620000000001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0.20608490804710736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220.79153925516505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B46*B57</f>
        <v>4258.7967217133701</v>
      </c>
      <c r="F5" s="17">
        <f>B51*B62</f>
        <v>55413.677662517242</v>
      </c>
      <c r="G5" s="18"/>
      <c r="H5" s="17"/>
      <c r="I5" s="17"/>
      <c r="J5" s="17">
        <f>B50*B61+C50*C61</f>
        <v>0</v>
      </c>
      <c r="K5" s="17"/>
      <c r="L5" s="17"/>
      <c r="M5" s="17"/>
      <c r="N5" s="17">
        <f>B48*B59+C48*C59</f>
        <v>16783.630499565294</v>
      </c>
      <c r="O5" s="17">
        <f>B69*B70*B71</f>
        <v>126.63</v>
      </c>
      <c r="P5" s="17">
        <f>B77*B78*B79/1000-B77*B78*B79/1000/B80</f>
        <v>495.73333333333335</v>
      </c>
    </row>
    <row r="6" spans="1:16">
      <c r="A6" s="16" t="s">
        <v>633</v>
      </c>
      <c r="B6" s="830">
        <f>kWh_PV_kleiner_dan_10kW</f>
        <v>3139.6262134030976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32653.648213403099</v>
      </c>
      <c r="C8" s="21">
        <f>C5</f>
        <v>0</v>
      </c>
      <c r="D8" s="21">
        <f>D5</f>
        <v>38273.588232000002</v>
      </c>
      <c r="E8" s="21">
        <f>E5</f>
        <v>4258.7967217133701</v>
      </c>
      <c r="F8" s="21">
        <f>F5</f>
        <v>55413.677662517242</v>
      </c>
      <c r="G8" s="21"/>
      <c r="H8" s="21"/>
      <c r="I8" s="21"/>
      <c r="J8" s="21">
        <f>J5</f>
        <v>0</v>
      </c>
      <c r="K8" s="21"/>
      <c r="L8" s="21">
        <f>L5</f>
        <v>0</v>
      </c>
      <c r="M8" s="21">
        <f>M5</f>
        <v>0</v>
      </c>
      <c r="N8" s="21">
        <f>N5</f>
        <v>16783.630499565294</v>
      </c>
      <c r="O8" s="21">
        <f>O5</f>
        <v>126.63</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0.20608490804710736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6729.4240894617687</v>
      </c>
      <c r="C12" s="23">
        <f ca="1">C10*C8</f>
        <v>0</v>
      </c>
      <c r="D12" s="23">
        <f>D8*D10</f>
        <v>7731.264822864001</v>
      </c>
      <c r="E12" s="23">
        <f>E10*E8</f>
        <v>966.74685582893505</v>
      </c>
      <c r="F12" s="23">
        <f>F10*F8</f>
        <v>14795.451935892104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903</v>
      </c>
      <c r="C18" s="167" t="s">
        <v>111</v>
      </c>
      <c r="D18" s="229"/>
      <c r="E18" s="15"/>
    </row>
    <row r="19" spans="1:7">
      <c r="A19" s="172" t="s">
        <v>72</v>
      </c>
      <c r="B19" s="37">
        <f>aantalw2001_ander</f>
        <v>5</v>
      </c>
      <c r="C19" s="167" t="s">
        <v>111</v>
      </c>
      <c r="D19" s="230"/>
      <c r="E19" s="15"/>
    </row>
    <row r="20" spans="1:7">
      <c r="A20" s="172" t="s">
        <v>73</v>
      </c>
      <c r="B20" s="37">
        <f>aantalw2001_propaan</f>
        <v>58</v>
      </c>
      <c r="C20" s="168">
        <f>IF(ISERROR(B20/SUM($B$20,$B$21,$B$22)*100),0,B20/SUM($B$20,$B$21,$B$22)*100)</f>
        <v>15.977961432506888</v>
      </c>
      <c r="D20" s="230"/>
      <c r="E20" s="15"/>
    </row>
    <row r="21" spans="1:7">
      <c r="A21" s="172" t="s">
        <v>74</v>
      </c>
      <c r="B21" s="37">
        <f>aantalw2001_elektriciteit</f>
        <v>226</v>
      </c>
      <c r="C21" s="168">
        <f>IF(ISERROR(B21/SUM($B$20,$B$21,$B$22)*100),0,B21/SUM($B$20,$B$21,$B$22)*100)</f>
        <v>62.258953168044073</v>
      </c>
      <c r="D21" s="230"/>
      <c r="E21" s="15"/>
    </row>
    <row r="22" spans="1:7">
      <c r="A22" s="172" t="s">
        <v>75</v>
      </c>
      <c r="B22" s="37">
        <f>aantalw2001_hout</f>
        <v>79</v>
      </c>
      <c r="C22" s="168">
        <f>IF(ISERROR(B22/SUM($B$20,$B$21,$B$22)*100),0,B22/SUM($B$20,$B$21,$B$22)*100)</f>
        <v>21.763085399449036</v>
      </c>
      <c r="D22" s="230"/>
      <c r="E22" s="15"/>
    </row>
    <row r="23" spans="1:7">
      <c r="A23" s="172" t="s">
        <v>76</v>
      </c>
      <c r="B23" s="37">
        <f>aantalw2001_niet_gespec</f>
        <v>57</v>
      </c>
      <c r="C23" s="167" t="s">
        <v>111</v>
      </c>
      <c r="D23" s="229"/>
      <c r="E23" s="15"/>
    </row>
    <row r="24" spans="1:7">
      <c r="A24" s="172" t="s">
        <v>77</v>
      </c>
      <c r="B24" s="37">
        <f>aantalw2001_steenkool</f>
        <v>102</v>
      </c>
      <c r="C24" s="167" t="s">
        <v>111</v>
      </c>
      <c r="D24" s="230"/>
      <c r="E24" s="15"/>
    </row>
    <row r="25" spans="1:7">
      <c r="A25" s="172" t="s">
        <v>78</v>
      </c>
      <c r="B25" s="37">
        <f>aantalw2001_stookolie</f>
        <v>3908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6297</v>
      </c>
      <c r="C28" s="36"/>
      <c r="D28" s="229"/>
    </row>
    <row r="29" spans="1:7" s="15" customFormat="1">
      <c r="A29" s="231" t="s">
        <v>714</v>
      </c>
      <c r="B29" s="37">
        <f>SUM(HH_hh_gas_aantal,HH_rest_gas_aantal)</f>
        <v>2545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2545</v>
      </c>
      <c r="C32" s="168">
        <f>IF(ISERROR(B32/SUM($B$32,$B$34,$B$35,$B$36,$B$38,$B$39)*100),0,B32/SUM($B$32,$B$34,$B$35,$B$36,$B$38,$B$39)*100)</f>
        <v>40.583638973050554</v>
      </c>
      <c r="D32" s="234"/>
      <c r="G32" s="15"/>
    </row>
    <row r="33" spans="1:7">
      <c r="A33" s="172" t="s">
        <v>72</v>
      </c>
      <c r="B33" s="34" t="s">
        <v>111</v>
      </c>
      <c r="C33" s="168"/>
      <c r="D33" s="234"/>
      <c r="G33" s="15"/>
    </row>
    <row r="34" spans="1:7">
      <c r="A34" s="172" t="s">
        <v>73</v>
      </c>
      <c r="B34" s="33">
        <f>IF((($B$28-$B$32-$B$39-$B$77-$B$38)*C20/100)&lt;0,0,($B$28-$B$32-$B$39-$B$77-$B$38)*C20/100)</f>
        <v>207.04242424242429</v>
      </c>
      <c r="C34" s="168">
        <f>IF(ISERROR(B34/SUM($B$32,$B$34,$B$35,$B$36,$B$38,$B$39)*100),0,B34/SUM($B$32,$B$34,$B$35,$B$36,$B$38,$B$39)*100)</f>
        <v>3.3015854607307333</v>
      </c>
      <c r="D34" s="234"/>
      <c r="G34" s="15"/>
    </row>
    <row r="35" spans="1:7">
      <c r="A35" s="172" t="s">
        <v>74</v>
      </c>
      <c r="B35" s="33">
        <f>IF((($B$28-$B$32-$B$39-$B$77-$B$38)*C21/100)&lt;0,0,($B$28-$B$32-$B$39-$B$77-$B$38)*C21/100)</f>
        <v>806.75151515151515</v>
      </c>
      <c r="C35" s="168">
        <f>IF(ISERROR(B35/SUM($B$32,$B$34,$B$35,$B$36,$B$38,$B$39)*100),0,B35/SUM($B$32,$B$34,$B$35,$B$36,$B$38,$B$39)*100)</f>
        <v>12.864798519399063</v>
      </c>
      <c r="D35" s="234"/>
      <c r="G35" s="15"/>
    </row>
    <row r="36" spans="1:7">
      <c r="A36" s="172" t="s">
        <v>75</v>
      </c>
      <c r="B36" s="33">
        <f>IF((($B$28-$B$32-$B$39-$B$77-$B$38)*C22/100)&lt;0,0,($B$28-$B$32-$B$39-$B$77-$B$38)*C22/100)</f>
        <v>282.00606060606066</v>
      </c>
      <c r="C36" s="168">
        <f>IF(ISERROR(B36/SUM($B$32,$B$34,$B$35,$B$36,$B$38,$B$39)*100),0,B36/SUM($B$32,$B$34,$B$35,$B$36,$B$38,$B$39)*100)</f>
        <v>4.4969870930642744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2430.1999999999998</v>
      </c>
      <c r="C39" s="168">
        <f>IF(ISERROR(B39/SUM($B$32,$B$34,$B$35,$B$36,$B$38,$B$39)*100),0,B39/SUM($B$32,$B$34,$B$35,$B$36,$B$38,$B$39)*100)</f>
        <v>38.752989953755382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2545</v>
      </c>
      <c r="C44" s="34" t="s">
        <v>111</v>
      </c>
      <c r="D44" s="175"/>
    </row>
    <row r="45" spans="1:7">
      <c r="A45" s="172" t="s">
        <v>72</v>
      </c>
      <c r="B45" s="33" t="str">
        <f t="shared" si="0"/>
        <v>-</v>
      </c>
      <c r="C45" s="34" t="s">
        <v>111</v>
      </c>
      <c r="D45" s="175"/>
    </row>
    <row r="46" spans="1:7">
      <c r="A46" s="172" t="s">
        <v>73</v>
      </c>
      <c r="B46" s="33">
        <f t="shared" si="0"/>
        <v>207.04242424242429</v>
      </c>
      <c r="C46" s="34" t="s">
        <v>111</v>
      </c>
      <c r="D46" s="175"/>
    </row>
    <row r="47" spans="1:7">
      <c r="A47" s="172" t="s">
        <v>74</v>
      </c>
      <c r="B47" s="33">
        <f t="shared" si="0"/>
        <v>806.75151515151515</v>
      </c>
      <c r="C47" s="34" t="s">
        <v>111</v>
      </c>
      <c r="D47" s="175"/>
    </row>
    <row r="48" spans="1:7">
      <c r="A48" s="172" t="s">
        <v>75</v>
      </c>
      <c r="B48" s="33">
        <f t="shared" si="0"/>
        <v>282.00606060606066</v>
      </c>
      <c r="C48" s="33">
        <f>B48*10</f>
        <v>2820.0606060606065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2430.1999999999998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54</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53</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52</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51</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50</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55</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0.20608490804710736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3437.8826754283391</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5304.1210000000001</v>
      </c>
      <c r="C26" s="39">
        <f>IF(ISERROR(B26*3.6/1000000/'E Balans VL '!Z12*100),0,B26*3.6/1000000/'E Balans VL '!Z12*100)</f>
        <v>0.11161643022243443</v>
      </c>
      <c r="D26" s="238" t="s">
        <v>720</v>
      </c>
      <c r="F26" s="6"/>
    </row>
    <row r="27" spans="1:18">
      <c r="A27" s="232" t="s">
        <v>53</v>
      </c>
      <c r="B27" s="33">
        <f>IF(ISERROR(TER_horeca_ele_kWh/1000),0,TER_horeca_ele_kWh/1000)</f>
        <v>1605.771</v>
      </c>
      <c r="C27" s="39">
        <f>IF(ISERROR(B27*3.6/1000000/'E Balans VL '!Z9*100),0,B27*3.6/1000000/'E Balans VL '!Z9*100)</f>
        <v>0.13595611839527558</v>
      </c>
      <c r="D27" s="238" t="s">
        <v>720</v>
      </c>
      <c r="F27" s="6"/>
    </row>
    <row r="28" spans="1:18">
      <c r="A28" s="172" t="s">
        <v>52</v>
      </c>
      <c r="B28" s="33">
        <f>IF(ISERROR(TER_handel_ele_kWh/1000),0,TER_handel_ele_kWh/1000)</f>
        <v>6375.2430000000004</v>
      </c>
      <c r="C28" s="39">
        <f>IF(ISERROR(B28*3.6/1000000/'E Balans VL '!Z13*100),0,B28*3.6/1000000/'E Balans VL '!Z13*100)</f>
        <v>0.17649772089248181</v>
      </c>
      <c r="D28" s="238" t="s">
        <v>720</v>
      </c>
      <c r="F28" s="6"/>
    </row>
    <row r="29" spans="1:18">
      <c r="A29" s="232" t="s">
        <v>51</v>
      </c>
      <c r="B29" s="33">
        <f>IF(ISERROR(TER_gezond_ele_kWh/1000),0,TER_gezond_ele_kWh/1000)</f>
        <v>1574.3610000000001</v>
      </c>
      <c r="C29" s="39">
        <f>IF(ISERROR(B29*3.6/1000000/'E Balans VL '!Z10*100),0,B29*3.6/1000000/'E Balans VL '!Z10*100)</f>
        <v>0.20464947617337825</v>
      </c>
      <c r="D29" s="238" t="s">
        <v>720</v>
      </c>
      <c r="F29" s="6"/>
    </row>
    <row r="30" spans="1:18">
      <c r="A30" s="232" t="s">
        <v>50</v>
      </c>
      <c r="B30" s="33">
        <f>IF(ISERROR(TER_ander_ele_kWh/1000),0,TER_ander_ele_kWh/1000)</f>
        <v>1410.3040000000001</v>
      </c>
      <c r="C30" s="39">
        <f>IF(ISERROR(B30*3.6/1000000/'E Balans VL '!Z14*100),0,B30*3.6/1000000/'E Balans VL '!Z14*100)</f>
        <v>0.10931149347568139</v>
      </c>
      <c r="D30" s="238" t="s">
        <v>720</v>
      </c>
      <c r="F30" s="6"/>
    </row>
    <row r="31" spans="1:18">
      <c r="A31" s="232" t="s">
        <v>55</v>
      </c>
      <c r="B31" s="33">
        <f>IF(ISERROR(TER_onderwijs_ele_kWh/1000),0,TER_onderwijs_ele_kWh/1000)</f>
        <v>412.07499999999999</v>
      </c>
      <c r="C31" s="39">
        <f>IF(ISERROR(B31*3.6/1000000/'E Balans VL '!Z11*100),0,B31*3.6/1000000/'E Balans VL '!Z11*100)</f>
        <v>7.8836969109407698E-2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33</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41</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40</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37</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39</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0.20608490804710736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1449.4633723998695</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267.21800000000002</v>
      </c>
      <c r="C30" s="39">
        <f>IF(ISERROR(B30*3.6/1000000/'E Balans VL '!Z18*100),0,B30*3.6/1000000/'E Balans VL '!Z18*100)</f>
        <v>1.7788865436984744E-2</v>
      </c>
      <c r="D30" s="238" t="s">
        <v>720</v>
      </c>
    </row>
    <row r="31" spans="1:18">
      <c r="A31" s="6" t="s">
        <v>33</v>
      </c>
      <c r="B31" s="37">
        <f>IF( ISERROR(IND_ander_ele_kWh/1000),0,IND_ander_ele_kWh/1000)</f>
        <v>2313.86</v>
      </c>
      <c r="C31" s="39">
        <f>IF(ISERROR(B31*3.6/1000000/'E Balans VL '!Z19*100),0,B31*3.6/1000000/'E Balans VL '!Z19*100)</f>
        <v>0.10256424409579752</v>
      </c>
      <c r="D31" s="238" t="s">
        <v>720</v>
      </c>
    </row>
    <row r="32" spans="1:18">
      <c r="A32" s="172" t="s">
        <v>41</v>
      </c>
      <c r="B32" s="37">
        <f>IF( ISERROR(IND_voed_ele_kWh/1000),0,IND_voed_ele_kWh/1000)</f>
        <v>225.42099999999999</v>
      </c>
      <c r="C32" s="39">
        <f>IF(ISERROR(B32*3.6/1000000/'E Balans VL '!Z20*100),0,B32*3.6/1000000/'E Balans VL '!Z20*100)</f>
        <v>7.5297080491562429E-3</v>
      </c>
      <c r="D32" s="238" t="s">
        <v>720</v>
      </c>
    </row>
    <row r="33" spans="1:5">
      <c r="A33" s="172" t="s">
        <v>40</v>
      </c>
      <c r="B33" s="37">
        <f>IF( ISERROR(IND_textiel_ele_kWh/1000),0,IND_textiel_ele_kWh/1000)</f>
        <v>2113.6579999999999</v>
      </c>
      <c r="C33" s="39">
        <f>IF(ISERROR(B33*3.6/1000000/'E Balans VL '!Z21*100),0,B33*3.6/1000000/'E Balans VL '!Z21*100)</f>
        <v>0.27826794987984865</v>
      </c>
      <c r="D33" s="238" t="s">
        <v>720</v>
      </c>
    </row>
    <row r="34" spans="1:5">
      <c r="A34" s="172" t="s">
        <v>37</v>
      </c>
      <c r="B34" s="37">
        <f>IF( ISERROR(IND_min_ele_kWh/1000),0,IND_min_ele_kWh/1000)</f>
        <v>186.69200000000001</v>
      </c>
      <c r="C34" s="39">
        <f>IF(ISERROR(B34*3.6/1000000/'E Balans VL '!Z22*100),0,B34*3.6/1000000/'E Balans VL '!Z22*100)</f>
        <v>3.6309543304948559E-2</v>
      </c>
      <c r="D34" s="238" t="s">
        <v>720</v>
      </c>
    </row>
    <row r="35" spans="1:5">
      <c r="A35" s="172" t="s">
        <v>39</v>
      </c>
      <c r="B35" s="37">
        <f>IF( ISERROR(IND_papier_ele_kWh/1000),0,IND_papier_ele_kWh/1000)</f>
        <v>1802.443</v>
      </c>
      <c r="C35" s="39">
        <f>IF(ISERROR(B35*3.6/1000000/'E Balans VL '!Z22*100),0,B35*3.6/1000000/'E Balans VL '!Z22*100)</f>
        <v>0.35055536478907173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124.039</v>
      </c>
      <c r="C37" s="39">
        <f>IF(ISERROR(B37*3.6/1000000/'E Balans VL '!Z15*100),0,B37*3.6/1000000/'E Balans VL '!Z15*100)</f>
        <v>9.2264808318350184E-4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4038.5819999999999</v>
      </c>
      <c r="C5" s="17">
        <f>'Eigen informatie GS &amp; warmtenet'!B60</f>
        <v>0</v>
      </c>
      <c r="D5" s="30">
        <f>IF(ISERROR(SUM(LB_lb_gas_kWh,LB_rest_gas_kWh,onbekend_gas_kWh)/1000),0,SUM(LB_lb_gas_kWh,LB_rest_gas_kWh,onbekend_gas_kWh)/1000)*0.902</f>
        <v>43.391612000000002</v>
      </c>
      <c r="E5" s="17">
        <f>B17*'E Balans VL '!I25/3.6*1000000/100</f>
        <v>42.292905021348545</v>
      </c>
      <c r="F5" s="17">
        <f>B17*('E Balans VL '!L25/3.6*1000000+'E Balans VL '!N25/3.6*1000000)/100</f>
        <v>20742.800192260704</v>
      </c>
      <c r="G5" s="18"/>
      <c r="H5" s="17"/>
      <c r="I5" s="17"/>
      <c r="J5" s="17">
        <f>('E Balans VL '!D25+'E Balans VL '!E25)/3.6*1000000*landbouw!B17/100</f>
        <v>360.68157102799893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4038.5819999999999</v>
      </c>
      <c r="C8" s="21">
        <f>C5+C6</f>
        <v>0</v>
      </c>
      <c r="D8" s="21">
        <f>MAX((D5+D6),0)</f>
        <v>43.391612000000002</v>
      </c>
      <c r="E8" s="21">
        <f>MAX((E5+E6),0)</f>
        <v>42.292905021348545</v>
      </c>
      <c r="F8" s="21">
        <f>MAX((F5+F6),0)</f>
        <v>20742.800192260704</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0.20608490804710736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832.29080011070289</v>
      </c>
      <c r="C12" s="23">
        <f ca="1">C8*C10</f>
        <v>0</v>
      </c>
      <c r="D12" s="23">
        <f>D8*D10</f>
        <v>8.7651056240000003</v>
      </c>
      <c r="E12" s="23">
        <f>E8*E10</f>
        <v>9.60048943984612</v>
      </c>
      <c r="F12" s="23">
        <f>F8*F10</f>
        <v>5538.3276513336086</v>
      </c>
      <c r="G12" s="23"/>
      <c r="H12" s="23"/>
      <c r="I12" s="23"/>
      <c r="J12" s="23">
        <f>J8*J10</f>
        <v>127.68127614391162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0.62161572883930871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913.81151511204746</v>
      </c>
      <c r="C26" s="248">
        <f>B26*'GWP N2O_CH4'!B5</f>
        <v>19190.041817352998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354.55066216948859</v>
      </c>
      <c r="C27" s="248">
        <f>B27*'GWP N2O_CH4'!B5</f>
        <v>7445.5639055592601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12.137512677659345</v>
      </c>
      <c r="C28" s="248">
        <f>B28*'GWP N2O_CH4'!B4</f>
        <v>3762.628930074397</v>
      </c>
      <c r="D28" s="50"/>
    </row>
    <row r="29" spans="1:4">
      <c r="A29" s="41" t="s">
        <v>278</v>
      </c>
      <c r="B29" s="248">
        <f>B34*'ha_N2O bodem landbouw'!B4</f>
        <v>46.460830057036823</v>
      </c>
      <c r="C29" s="248">
        <f>B29*'GWP N2O_CH4'!B4</f>
        <v>14402.857317681415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7.6782623693773533E-3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3.5851779293257243E-6</v>
      </c>
      <c r="C5" s="446" t="s">
        <v>212</v>
      </c>
      <c r="D5" s="431">
        <f>SUM(D6:D11)</f>
        <v>1.9392936507792593E-5</v>
      </c>
      <c r="E5" s="431">
        <f>SUM(E6:E11)</f>
        <v>1.9372528928576374E-3</v>
      </c>
      <c r="F5" s="444" t="s">
        <v>212</v>
      </c>
      <c r="G5" s="431">
        <f>SUM(G6:G11)</f>
        <v>0.30349463333024795</v>
      </c>
      <c r="H5" s="431">
        <f>SUM(H6:H11)</f>
        <v>6.4003808453217681E-2</v>
      </c>
      <c r="I5" s="446" t="s">
        <v>212</v>
      </c>
      <c r="J5" s="446" t="s">
        <v>212</v>
      </c>
      <c r="K5" s="446" t="s">
        <v>212</v>
      </c>
      <c r="L5" s="446" t="s">
        <v>212</v>
      </c>
      <c r="M5" s="431">
        <f>SUM(M6:M11)</f>
        <v>1.6066739618393319E-2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2.4348090998910389E-6</v>
      </c>
      <c r="C6" s="432"/>
      <c r="D6" s="432">
        <f>vkm_2011_GW_PW*SUMIFS(TableVerdeelsleutelVkm[CNG],TableVerdeelsleutelVkm[Voertuigtype],"Lichte voertuigen")*SUMIFS(TableECFTransport[EnergieConsumptieFactor (PJ per km)],TableECFTransport[Index],CONCATENATE($A6,"_CNG_CNG"))</f>
        <v>1.0496179007732984E-5</v>
      </c>
      <c r="E6" s="434">
        <f>vkm_2011_GW_PW*SUMIFS(TableVerdeelsleutelVkm[LPG],TableVerdeelsleutelVkm[Voertuigtype],"Lichte voertuigen")*SUMIFS(TableECFTransport[EnergieConsumptieFactor (PJ per km)],TableECFTransport[Index],CONCATENATE($A6,"_LPG_LPG"))</f>
        <v>1.0920630225519274E-3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0.13432674979144568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3.5365449564155514E-2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7.4367257113426011E-3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6.2343515784342877E-2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2.1376727628000417E-5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2.6931230703913928E-3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1.1503688294346854E-6</v>
      </c>
      <c r="C8" s="432"/>
      <c r="D8" s="434">
        <f>vkm_2011_NGW_PW*SUMIFS(TableVerdeelsleutelVkm[CNG],TableVerdeelsleutelVkm[Voertuigtype],"Lichte voertuigen")*SUMIFS(TableECFTransport[EnergieConsumptieFactor (PJ per km)],TableECFTransport[Index],CONCATENATE($A8,"_CNG_CNG"))</f>
        <v>8.8967575000596071E-6</v>
      </c>
      <c r="E8" s="434">
        <f>vkm_2011_NGW_PW*SUMIFS(TableVerdeelsleutelVkm[LPG],TableVerdeelsleutelVkm[Voertuigtype],"Lichte voertuigen")*SUMIFS(TableECFTransport[EnergieConsumptieFactor (PJ per km)],TableECFTransport[Index],CONCATENATE($A8,"_LPG_LPG"))</f>
        <v>8.4518987030570997E-4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9.8604332461219177E-2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2.8614533628869503E-2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5.5818178319912331E-3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8.2200352932402226E-3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2.44853256466039E-6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3.5507300466809346E-4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0.99588275814603444</v>
      </c>
      <c r="C14" s="21"/>
      <c r="D14" s="21">
        <f t="shared" ref="D14:M14" si="0">((D5)*10^9/3600)+D12</f>
        <v>5.3869268077201653</v>
      </c>
      <c r="E14" s="21">
        <f t="shared" si="0"/>
        <v>538.12580357156594</v>
      </c>
      <c r="F14" s="21"/>
      <c r="G14" s="21">
        <f t="shared" si="0"/>
        <v>84304.064813957768</v>
      </c>
      <c r="H14" s="21">
        <f t="shared" si="0"/>
        <v>17778.835681449356</v>
      </c>
      <c r="I14" s="21"/>
      <c r="J14" s="21"/>
      <c r="K14" s="21"/>
      <c r="L14" s="21"/>
      <c r="M14" s="21">
        <f t="shared" si="0"/>
        <v>4462.9832273314778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0.20608490804710736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0.20523640663822515</v>
      </c>
      <c r="C18" s="23"/>
      <c r="D18" s="23">
        <f t="shared" ref="D18:M18" si="1">D14*D16</f>
        <v>1.0881592151594734</v>
      </c>
      <c r="E18" s="23">
        <f t="shared" si="1"/>
        <v>122.15455741074547</v>
      </c>
      <c r="F18" s="23"/>
      <c r="G18" s="23">
        <f t="shared" si="1"/>
        <v>22509.185305326726</v>
      </c>
      <c r="H18" s="23">
        <f t="shared" si="1"/>
        <v>4426.9300846808901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1.0492899247780093E-2</v>
      </c>
      <c r="H50" s="322">
        <f t="shared" si="2"/>
        <v>0</v>
      </c>
      <c r="I50" s="322">
        <f t="shared" si="2"/>
        <v>0</v>
      </c>
      <c r="J50" s="322">
        <f t="shared" si="2"/>
        <v>0</v>
      </c>
      <c r="K50" s="322">
        <f t="shared" si="2"/>
        <v>0</v>
      </c>
      <c r="L50" s="322">
        <f t="shared" si="2"/>
        <v>0</v>
      </c>
      <c r="M50" s="322">
        <f t="shared" si="2"/>
        <v>4.4726670877796561E-4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1.0492899247780093E-2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4.4726670877796561E-4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2914.6942354944704</v>
      </c>
      <c r="H54" s="21">
        <f t="shared" si="3"/>
        <v>0</v>
      </c>
      <c r="I54" s="21">
        <f t="shared" si="3"/>
        <v>0</v>
      </c>
      <c r="J54" s="21">
        <f t="shared" si="3"/>
        <v>0</v>
      </c>
      <c r="K54" s="21">
        <f t="shared" si="3"/>
        <v>0</v>
      </c>
      <c r="L54" s="21">
        <f t="shared" si="3"/>
        <v>0</v>
      </c>
      <c r="M54" s="21">
        <f t="shared" si="3"/>
        <v>124.24075243832378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0.20608490804710736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778.22336087702365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4149.2162090006914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4149.2162090006914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2018-06-27T09:03:21Z</dcterms:modified>
</cp:coreProperties>
</file>