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B16"/>
  <c r="B78" i="14" s="1"/>
  <c r="K11" i="18"/>
  <c r="J11"/>
  <c r="I11"/>
  <c r="H11"/>
  <c r="G11"/>
  <c r="F11"/>
  <c r="E11"/>
  <c r="D11"/>
  <c r="C11"/>
  <c r="L8"/>
  <c r="L9" s="1"/>
  <c r="K8"/>
  <c r="K9" s="1"/>
  <c r="I8"/>
  <c r="J68" i="14" s="1"/>
  <c r="H8" i="1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8" i="9"/>
  <c r="J15" i="16"/>
  <c r="O80" i="14"/>
  <c r="J8" i="18"/>
  <c r="H68" i="14"/>
  <c r="D8" i="17"/>
  <c r="C97" i="18"/>
  <c r="I100" s="1"/>
  <c r="H7" s="1"/>
  <c r="I67" i="14" s="1"/>
  <c r="D12" i="22"/>
  <c r="E17" i="14"/>
  <c r="D13" i="48"/>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18" i="16"/>
  <c r="Q13" i="14" s="1"/>
  <c r="J8" i="17"/>
  <c r="J7" i="48" s="1"/>
  <c r="J24" s="1"/>
  <c r="G19" i="18"/>
  <c r="K19"/>
  <c r="L16" i="16"/>
  <c r="L18" s="1"/>
  <c r="N6" i="17"/>
  <c r="B81" i="14"/>
  <c r="E31" i="20"/>
  <c r="F43" i="14" s="1"/>
  <c r="H14" i="22"/>
  <c r="F8" i="17"/>
  <c r="G22" i="14" s="1"/>
  <c r="E9"/>
  <c r="J9"/>
  <c r="N9"/>
  <c r="N15" s="1"/>
  <c r="I11" i="48"/>
  <c r="M11"/>
  <c r="M28" s="1"/>
  <c r="M19" i="19"/>
  <c r="N35" i="14" s="1"/>
  <c r="J7" i="15"/>
  <c r="O5" i="16"/>
  <c r="B7" i="18"/>
  <c r="B67" i="14" s="1"/>
  <c r="I19" i="18"/>
  <c r="C80" i="14"/>
  <c r="C16" i="15"/>
  <c r="D10" i="14" s="1"/>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J15" i="14"/>
  <c r="H15"/>
  <c r="L15"/>
  <c r="M46"/>
  <c r="H69"/>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L23"/>
  <c r="P23"/>
  <c r="H25"/>
  <c r="P26"/>
  <c r="F28"/>
  <c r="J28"/>
  <c r="N28"/>
  <c r="D30"/>
  <c r="L30"/>
  <c r="P30"/>
  <c r="E23"/>
  <c r="I23"/>
  <c r="O24"/>
  <c r="I25"/>
  <c r="P11" i="14"/>
  <c r="O12" i="13"/>
  <c r="P37" i="14" s="1"/>
  <c r="B10" i="48"/>
  <c r="C18" i="14"/>
  <c r="F7" i="48"/>
  <c r="F24" s="1"/>
  <c r="P24"/>
  <c r="E5" i="17"/>
  <c r="C8"/>
  <c r="G24" i="48"/>
  <c r="K14"/>
  <c r="I24"/>
  <c r="G81" i="14"/>
  <c r="D79"/>
  <c r="H79"/>
  <c r="H81" s="1"/>
  <c r="L79"/>
  <c r="L81" s="1"/>
  <c r="F79"/>
  <c r="F81" s="1"/>
  <c r="J79"/>
  <c r="J81" s="1"/>
  <c r="E68"/>
  <c r="E69" s="1"/>
  <c r="I68"/>
  <c r="M68"/>
  <c r="M69" s="1"/>
  <c r="D19" i="18"/>
  <c r="H19"/>
  <c r="L19"/>
  <c r="B68" i="14"/>
  <c r="G68"/>
  <c r="G69" s="1"/>
  <c r="K68"/>
  <c r="E81"/>
  <c r="M81"/>
  <c r="B19" i="18"/>
  <c r="F19"/>
  <c r="D11" i="14"/>
  <c r="C4" i="48"/>
  <c r="M8" i="18"/>
  <c r="M17"/>
  <c r="M18"/>
  <c r="D13" i="14"/>
  <c r="N8" i="17" l="1"/>
  <c r="N5"/>
  <c r="L5"/>
  <c r="L8" s="1"/>
  <c r="C78" i="14"/>
  <c r="H9" i="18"/>
  <c r="C100"/>
  <c r="D100"/>
  <c r="J7" s="1"/>
  <c r="G100"/>
  <c r="P22" i="16"/>
  <c r="Q39" i="14" s="1"/>
  <c r="E100" i="18"/>
  <c r="E7" s="1"/>
  <c r="H100"/>
  <c r="B100"/>
  <c r="C7" s="1"/>
  <c r="B35" i="13"/>
  <c r="B47" s="1"/>
  <c r="I69" i="14"/>
  <c r="J12" i="17"/>
  <c r="K48" i="14" s="1"/>
  <c r="F12" i="17"/>
  <c r="G48" i="14" s="1"/>
  <c r="F100" i="18"/>
  <c r="J41" i="14"/>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O68" i="14"/>
  <c r="C68"/>
  <c r="F22"/>
  <c r="E8" i="17"/>
  <c r="D8" i="48"/>
  <c r="D25" s="1"/>
  <c r="D18" i="16"/>
  <c r="D22" s="1"/>
  <c r="E39" i="14" s="1"/>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L7" i="48" l="1"/>
  <c r="L24" s="1"/>
  <c r="L12" i="17"/>
  <c r="M48" i="14" s="1"/>
  <c r="M22"/>
  <c r="O22"/>
  <c r="R22" s="1"/>
  <c r="N7" i="48"/>
  <c r="N24" s="1"/>
  <c r="N12" i="17"/>
  <c r="O48" i="14" s="1"/>
  <c r="F67"/>
  <c r="F69" s="1"/>
  <c r="E9" i="18"/>
  <c r="D67" i="14"/>
  <c r="C9" i="18"/>
  <c r="E13" i="14"/>
  <c r="C14" i="48"/>
  <c r="E20" i="15"/>
  <c r="F36" i="14" s="1"/>
  <c r="E16" i="15"/>
  <c r="K67" i="14"/>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E5" i="48"/>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D69" i="14" l="1"/>
  <c r="O67"/>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F14" s="1"/>
  <c r="N25"/>
  <c r="N31" s="1"/>
  <c r="N14"/>
  <c r="E8"/>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K55" i="14"/>
  <c r="R13" l="1"/>
  <c r="R15"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<sst xmlns="http://schemas.openxmlformats.org/spreadsheetml/2006/main" count="2047" uniqueCount="904">
  <si>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</si>
  <si>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</si>
  <si>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</si>
  <si>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</si>
  <si>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</si>
  <si>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</si>
  <si>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</si>
  <si>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</si>
  <si>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</si>
  <si>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</si>
  <si>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</si>
  <si>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</si>
  <si>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</si>
  <si>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</si>
  <si>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</si>
  <si>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</si>
  <si>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</si>
  <si>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</si>
  <si>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</si>
  <si>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</si>
  <si>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</si>
  <si>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</si>
  <si>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</si>
  <si>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</si>
  <si>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</si>
  <si>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</si>
  <si>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</si>
  <si>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</si>
  <si>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</si>
  <si>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</si>
  <si>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</si>
  <si>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</si>
  <si>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</si>
  <si>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</si>
  <si>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</si>
  <si>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</si>
  <si>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</si>
  <si>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</si>
  <si>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</si>
  <si>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</si>
  <si>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</si>
  <si>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</si>
  <si>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</si>
  <si>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</si>
  <si>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</si>
  <si>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</si>
  <si>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</si>
  <si>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</si>
  <si>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</si>
  <si>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</si>
  <si>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</si>
  <si>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</si>
  <si>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</si>
  <si>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</si>
  <si>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</si>
  <si>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</si>
  <si>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</si>
  <si>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</si>
  <si>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</si>
  <si>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</si>
  <si>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</si>
  <si>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</si>
  <si>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</si>
  <si>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</si>
  <si>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</si>
  <si>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</si>
  <si>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</si>
  <si>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</si>
  <si>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</si>
  <si>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</si>
  <si>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</si>
  <si>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</si>
  <si>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</si>
  <si>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</si>
  <si>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</si>
  <si>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</si>
  <si>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</si>
  <si>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</si>
  <si>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</si>
  <si>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</si>
  <si>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</si>
  <si>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</si>
  <si>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</si>
  <si>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</si>
  <si>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</si>
  <si>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</si>
  <si>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</si>
  <si>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</si>
  <si>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</si>
  <si>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</si>
  <si>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</si>
  <si>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</si>
  <si>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</si>
  <si>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</si>
  <si>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</si>
  <si>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</si>
  <si>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</si>
  <si>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</si>
  <si>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</si>
  <si>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</si>
  <si>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</si>
  <si>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</si>
  <si>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</si>
  <si>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</si>
  <si>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</si>
  <si>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</si>
  <si>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</si>
  <si>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</si>
  <si>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</si>
  <si>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</si>
  <si>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</si>
  <si>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</si>
  <si>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</si>
  <si>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</si>
  <si>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</si>
  <si>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</si>
  <si>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</si>
  <si>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</si>
  <si>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</si>
  <si>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</si>
  <si>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</si>
  <si>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</si>
  <si>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</si>
  <si>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</si>
  <si>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</si>
  <si>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</si>
  <si>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</si>
  <si>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</si>
  <si>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</si>
  <si>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</si>
  <si>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</si>
  <si>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</si>
  <si>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</si>
  <si>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</si>
  <si>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</si>
  <si>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</si>
  <si>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</si>
  <si>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</si>
  <si>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</si>
  <si>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</si>
  <si>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</si>
  <si>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</si>
  <si>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</si>
  <si>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</si>
  <si>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</si>
  <si>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</si>
  <si>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</si>
  <si>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</si>
  <si>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</si>
  <si>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</si>
  <si>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</si>
  <si>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</si>
  <si>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</si>
  <si>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</si>
  <si>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</si>
  <si>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</si>
  <si>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</si>
  <si>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</si>
  <si>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</si>
  <si>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</si>
  <si>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</si>
  <si>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</si>
  <si>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</si>
  <si>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</si>
  <si>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</si>
  <si>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</si>
  <si>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</si>
  <si>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</si>
  <si>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</si>
  <si>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</si>
  <si>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</si>
  <si>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</si>
  <si>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</si>
  <si>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</si>
  <si>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</si>
  <si>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</si>
  <si>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</si>
  <si>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</si>
  <si>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</si>
  <si>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</si>
  <si>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</si>
  <si>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</si>
  <si>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</si>
  <si>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</si>
  <si>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</si>
  <si>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</si>
  <si>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</si>
  <si>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</si>
  <si>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</si>
  <si>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</si>
  <si>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</si>
  <si>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</si>
  <si>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</si>
  <si>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</si>
  <si>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</si>
  <si>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</si>
  <si>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</si>
  <si>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</si>
  <si>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</si>
  <si>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</si>
  <si>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</si>
  <si>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</si>
  <si>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</si>
  <si>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</si>
  <si>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</si>
  <si>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</si>
  <si>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</si>
  <si>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</si>
  <si>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</si>
  <si>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</si>
  <si>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</si>
  <si>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</si>
  <si>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</si>
  <si>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</si>
  <si>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</si>
  <si>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</si>
  <si>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</si>
  <si>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</si>
  <si>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</si>
  <si>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</si>
  <si>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</si>
  <si>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</si>
  <si>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</si>
  <si>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</si>
  <si>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</si>
  <si>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</si>
  <si>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</si>
  <si>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</si>
  <si>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</si>
  <si>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</si>
  <si>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</si>
  <si>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</si>
  <si>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</si>
  <si>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</si>
  <si>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</si>
  <si>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</si>
  <si>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</si>
  <si>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</si>
  <si>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</si>
  <si>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</si>
  <si>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</si>
  <si>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</si>
  <si>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</si>
  <si>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</si>
  <si>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</si>
  <si>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</si>
  <si>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</si>
  <si>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</si>
  <si>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</si>
  <si>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</si>
  <si>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</si>
  <si>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</si>
  <si>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</si>
  <si>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</si>
  <si>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</si>
  <si>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</si>
  <si>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</si>
  <si>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</si>
  <si>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</si>
  <si>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</si>
  <si>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</si>
  <si>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</si>
  <si>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</si>
  <si>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</si>
  <si>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</si>
  <si>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</si>
  <si>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</si>
  <si>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</si>
  <si>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</si>
  <si>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</si>
  <si>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</si>
  <si>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</si>
  <si>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</si>
  <si>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</si>
  <si>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</si>
  <si>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</si>
  <si>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</si>
  <si>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</si>
  <si>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</si>
  <si>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</si>
  <si>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</si>
  <si>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</si>
  <si>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</si>
  <si>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</si>
  <si>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</si>
  <si>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</si>
  <si>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</si>
  <si>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</si>
  <si>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</si>
  <si>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</si>
  <si>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</si>
  <si>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</si>
  <si>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</si>
  <si>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</si>
  <si>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</si>
  <si>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</si>
  <si>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</si>
  <si>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</si>
  <si>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</si>
  <si>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</si>
  <si>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</si>
  <si>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</si>
  <si>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</si>
  <si>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</si>
  <si>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</si>
  <si>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</si>
  <si>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</si>
  <si>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</si>
  <si>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</si>
  <si>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</si>
  <si>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</si>
  <si>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</si>
  <si>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</si>
  <si>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</si>
  <si>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</si>
  <si>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</si>
  <si>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</si>
  <si>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</si>
  <si>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</si>
  <si>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</si>
  <si>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</si>
  <si>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</si>
  <si>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</si>
  <si>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</si>
  <si>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</si>
  <si>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</si>
  <si>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</si>
  <si>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</si>
  <si>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</si>
  <si>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</si>
  <si>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</si>
  <si>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</si>
  <si>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</si>
  <si>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</si>
  <si>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</si>
  <si>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</si>
  <si>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</si>
  <si>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</si>
  <si>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</si>
  <si>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</si>
  <si>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</si>
  <si>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</si>
  <si>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</si>
  <si>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</si>
  <si>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</si>
  <si>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</si>
  <si>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</si>
  <si>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</si>
  <si>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</si>
  <si>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</si>
  <si>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</si>
  <si>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</si>
  <si>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</si>
  <si>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</si>
  <si>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</si>
  <si>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</si>
  <si>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</si>
  <si>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</si>
  <si>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</si>
  <si>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</si>
  <si>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</si>
  <si>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</si>
  <si>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</si>
  <si>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</si>
  <si>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</si>
  <si>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</si>
  <si>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</si>
  <si>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</si>
  <si>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</si>
  <si>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</si>
  <si>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</si>
  <si>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</si>
  <si>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</si>
  <si>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</si>
  <si>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</si>
  <si>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</si>
  <si>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</si>
  <si>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</si>
  <si>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</si>
  <si>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</si>
  <si>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</si>
  <si>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</si>
  <si>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</si>
  <si>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</si>
  <si>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</si>
  <si>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</si>
  <si>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</si>
  <si>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</si>
  <si>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</si>
  <si>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</si>
  <si>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</si>
  <si>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</si>
  <si>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</si>
  <si>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</si>
  <si>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</si>
  <si>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</si>
  <si>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</si>
  <si>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</si>
  <si>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</si>
  <si>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</si>
  <si>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</si>
  <si>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</si>
  <si>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</si>
  <si>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</si>
  <si>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</si>
  <si>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</si>
  <si>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</si>
  <si>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</si>
  <si>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</si>
  <si>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</si>
  <si>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</si>
  <si>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</si>
  <si>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</si>
  <si>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</si>
  <si>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</si>
  <si>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</si>
  <si>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</si>
  <si>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</si>
  <si>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</si>
  <si>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</si>
  <si>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</si>
  <si>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</si>
  <si>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</si>
  <si>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</si>
  <si>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</si>
  <si>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</si>
  <si>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</si>
  <si>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</si>
  <si>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</si>
  <si>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</si>
  <si>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</si>
  <si>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</si>
  <si>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</si>
  <si>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</si>
  <si>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</si>
  <si>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</si>
  <si>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</si>
  <si>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</si>
  <si>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</si>
  <si>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</si>
  <si>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</si>
  <si>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</si>
  <si>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</si>
  <si>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</si>
  <si>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</si>
  <si>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</si>
  <si>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</si>
  <si>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</si>
  <si>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</si>
  <si>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</si>
  <si>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</si>
  <si>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</si>
  <si>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</si>
  <si>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</si>
  <si>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</si>
  <si>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</si>
  <si>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</si>
  <si>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</si>
  <si>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</si>
  <si>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</si>
  <si>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</si>
  <si>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</si>
  <si>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</si>
  <si>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</si>
  <si>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</si>
  <si>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</si>
  <si>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</si>
  <si>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</si>
  <si>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</si>
  <si>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</si>
  <si>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</si>
  <si>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</si>
  <si>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</si>
  <si>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</si>
  <si>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</si>
  <si>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</si>
  <si>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</si>
  <si>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</si>
  <si>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</si>
  <si>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</si>
  <si>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</si>
  <si>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</si>
  <si>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</si>
  <si>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</si>
  <si>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</si>
  <si>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</si>
  <si>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</si>
  <si>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</si>
  <si>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</si>
  <si>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</si>
  <si>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</si>
  <si>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</si>
  <si>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</si>
  <si>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</si>
  <si>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</si>
  <si>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</si>
  <si>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</si>
  <si>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</si>
  <si>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</si>
  <si>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</si>
  <si>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</si>
  <si>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</si>
  <si>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</si>
  <si>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</si>
  <si>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</si>
  <si>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</si>
  <si>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</si>
  <si>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</si>
  <si>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</si>
  <si>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</si>
  <si>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</si>
  <si>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</si>
  <si>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</si>
  <si>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</si>
  <si>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</si>
  <si>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</si>
  <si>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</si>
  <si>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</si>
  <si>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</si>
  <si>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</si>
  <si>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</si>
  <si>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</si>
  <si>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</si>
  <si>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</si>
  <si>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</si>
  <si>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</si>
  <si>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</si>
  <si>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</si>
  <si>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</si>
  <si>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</si>
  <si>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</si>
  <si>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</si>
  <si>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</si>
  <si>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</si>
  <si>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</si>
  <si>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</si>
  <si>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</si>
  <si>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</si>
  <si>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</si>
  <si>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</si>
  <si>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</si>
  <si>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</si>
  <si>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</si>
  <si>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</si>
  <si>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</si>
  <si>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</si>
  <si>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</si>
  <si>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</si>
  <si>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</si>
  <si>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</si>
  <si>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</si>
  <si>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</si>
  <si>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</si>
  <si>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</si>
  <si>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</si>
  <si>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</si>
  <si>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</si>
  <si>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</si>
  <si>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</si>
  <si>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</si>
  <si>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</si>
  <si>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</si>
  <si>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</si>
  <si>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</si>
  <si>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</si>
  <si>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</si>
  <si>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</si>
  <si>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</si>
  <si>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</si>
  <si>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</si>
  <si>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</si>
  <si>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</si>
  <si>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</si>
  <si>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</si>
  <si>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</si>
  <si>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</si>
  <si>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</si>
  <si>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</si>
  <si>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</si>
  <si>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</si>
  <si>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</si>
  <si>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</si>
  <si>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</si>
  <si>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</si>
  <si>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</si>
  <si>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</si>
  <si>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</si>
  <si>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</si>
  <si>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</si>
  <si>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</si>
  <si>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</si>
  <si>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</si>
  <si>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</si>
  <si>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</si>
  <si>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</si>
  <si>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</si>
  <si>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</si>
  <si>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</si>
  <si>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</si>
  <si>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</si>
  <si>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</si>
  <si>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</si>
  <si>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</si>
  <si>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</si>
  <si>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</si>
  <si>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</si>
  <si>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</si>
  <si>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</si>
  <si>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</si>
  <si>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</si>
  <si>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</si>
  <si>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</si>
  <si>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</si>
  <si>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</si>
  <si>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</si>
  <si>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</si>
  <si>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</si>
  <si>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</si>
  <si>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</si>
  <si>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</si>
  <si>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</si>
  <si>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</si>
  <si>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</si>
  <si>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</si>
  <si>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</si>
  <si>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</si>
  <si>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</si>
  <si>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</si>
  <si>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</si>
  <si>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</si>
  <si>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</si>
  <si>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</si>
  <si>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</si>
  <si>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</si>
  <si>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</si>
  <si>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</si>
  <si>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</si>
  <si>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</si>
  <si>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</si>
  <si>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</si>
  <si>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</si>
  <si>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</si>
  <si>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</si>
  <si>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</si>
  <si>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</si>
  <si>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</si>
  <si>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</si>
  <si>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</si>
  <si>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</si>
  <si>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</si>
  <si>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</si>
  <si>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</si>
  <si>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</si>
  <si>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</si>
  <si>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</si>
  <si>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</si>
  <si>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</si>
  <si>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</si>
  <si>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</si>
  <si>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</si>
  <si>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</si>
  <si>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</si>
  <si>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</si>
  <si>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</si>
  <si>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</si>
  <si>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</si>
  <si>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</si>
  <si>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</si>
  <si>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</si>
  <si>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</si>
  <si>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</si>
  <si>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</si>
  <si>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</si>
  <si>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</si>
  <si>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</si>
  <si>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</si>
  <si>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</si>
  <si>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</si>
  <si>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</si>
  <si>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</si>
  <si>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</si>
  <si>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</si>
  <si>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</si>
  <si>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</si>
  <si>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</si>
  <si>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</si>
  <si>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</si>
  <si>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</si>
  <si>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</si>
  <si>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</si>
  <si>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</si>
  <si>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</si>
  <si>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</si>
  <si>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</si>
  <si>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</si>
  <si>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</si>
  <si>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</si>
  <si>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</si>
  <si>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</si>
  <si>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</si>
  <si>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</si>
  <si>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</si>
  <si>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</si>
  <si>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</si>
  <si>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</si>
  <si>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</si>
  <si>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</si>
  <si>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</si>
  <si>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</si>
  <si>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</si>
  <si>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</si>
  <si>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</si>
  <si>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</si>
  <si>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</si>
  <si>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</si>
  <si>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</si>
  <si>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</si>
  <si>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</si>
  <si>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</si>
  <si>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</si>
  <si>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</si>
  <si>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</si>
  <si>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</si>
  <si>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</si>
  <si>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</si>
  <si>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</si>
  <si>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</si>
  <si>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</si>
  <si>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</si>
  <si>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</si>
  <si>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</si>
  <si>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</si>
  <si>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</si>
  <si>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</si>
  <si>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</si>
  <si>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</si>
  <si>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</si>
  <si>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</si>
  <si>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</si>
  <si>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</si>
  <si>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</si>
  <si>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</si>
  <si>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</si>
  <si>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</si>
  <si>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</si>
  <si>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</si>
  <si>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</si>
  <si>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</si>
  <si>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</si>
  <si>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</si>
  <si>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</si>
  <si>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</si>
  <si>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</si>
  <si>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</si>
  <si>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</si>
  <si>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</si>
  <si>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</si>
  <si>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</si>
  <si>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</si>
  <si>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</si>
  <si>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</si>
  <si>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</si>
  <si>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</si>
  <si>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</si>
  <si>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</si>
  <si>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</si>
  <si>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</si>
  <si>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</si>
  <si>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</si>
  <si>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</si>
  <si>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</si>
  <si>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</si>
  <si>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</si>
  <si>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</si>
  <si>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</si>
  <si>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</si>
  <si>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</si>
  <si>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</si>
  <si>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</si>
  <si>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</si>
  <si>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</si>
  <si>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</si>
  <si>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</si>
  <si>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</si>
  <si>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</si>
  <si>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</si>
  <si>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</si>
  <si>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</si>
  <si>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</si>
  <si>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</si>
  <si>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</si>
  <si>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</si>
  <si>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</si>
  <si>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</si>
  <si>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</si>
  <si>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</si>
  <si>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</si>
  <si>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</si>
  <si>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</si>
  <si>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</si>
  <si>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</si>
  <si>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</si>
  <si>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</si>
  <si>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</si>
  <si>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</si>
  <si>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</si>
  <si>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</si>
  <si>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</si>
  <si>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</si>
  <si>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</si>
  <si>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</si>
  <si>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</si>
  <si>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</si>
  <si>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</si>
  <si>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</si>
  <si>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</si>
  <si>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</si>
  <si>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</si>
  <si>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</si>
  <si>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</si>
  <si>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</si>
  <si>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</si>
  <si>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</si>
  <si>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</si>
  <si>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</si>
  <si>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</si>
  <si>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</si>
  <si>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</si>
  <si>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</si>
  <si>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</si>
  <si>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</si>
  <si>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</si>
  <si>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</si>
  <si>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</si>
  <si>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</si>
  <si>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</si>
  <si>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</si>
  <si>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</si>
  <si>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</si>
  <si>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</si>
  <si>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</si>
  <si>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</si>
  <si>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</si>
  <si>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</si>
  <si>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</si>
  <si>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</si>
  <si>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</si>
  <si>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</si>
  <si>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</si>
  <si>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</si>
  <si>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</si>
  <si>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</si>
  <si>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</si>
  <si>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</si>
  <si>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</si>
  <si>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</si>
  <si>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</si>
  <si>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</si>
  <si>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</si>
  <si>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</si>
  <si>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</si>
  <si>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</si>
  <si>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</si>
  <si>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</si>
  <si>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</si>
  <si>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</si>
  <si>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</si>
  <si>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</si>
  <si>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</si>
  <si>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</si>
  <si>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</si>
  <si>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</si>
  <si>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</si>
  <si>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</si>
  <si>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</si>
  <si>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</si>
  <si>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</si>
  <si>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</si>
  <si>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</si>
  <si>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</si>
  <si>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</si>
  <si>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</si>
  <si>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</si>
  <si>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</si>
  <si>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</si>
  <si>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72020</t>
  </si>
  <si>
    <t>LOMMEL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</si>
  <si>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</si>
  <si>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</si>
  <si>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</si>
  <si>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</si>
  <si>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</si>
  <si>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</si>
  <si>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</si>
  <si>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Den Bonten Oss</t>
  </si>
  <si>
    <t>Dorp 33, 3920 Lommel</t>
  </si>
  <si>
    <t>WKK-0024 Van Limbergen</t>
  </si>
  <si>
    <t>interne verbrandingsmotor</t>
  </si>
  <si>
    <t>WKK interne verbrandinsgmotor (gas)</t>
  </si>
  <si>
    <t>Inter-Energa</t>
  </si>
  <si>
    <t>BioEnergy NV</t>
  </si>
  <si>
    <t>Ekkelgaarden 16, 3500 Hasselt</t>
  </si>
  <si>
    <t>WKK-0105 BioEnergy Lommel</t>
  </si>
  <si>
    <t>Maatheide 76, 3920 Lommel</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</si>
</sst>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72020</v>
      </c>
      <c r="B6" s="396"/>
      <c r="C6" s="397"/>
    </row>
    <row r="7" spans="1:7" s="394" customFormat="1" ht="15.75" customHeight="1">
      <c r="A7" s="398" t="str">
        <f>txtMunicipality</f>
        <v>LOMMEL</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72020</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13301</v>
      </c>
      <c r="C9" s="336">
        <v>14437</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1923</v>
      </c>
    </row>
    <row r="15" spans="1:6">
      <c r="A15" s="1194" t="s">
        <v>185</v>
      </c>
      <c r="B15" s="333">
        <v>10</v>
      </c>
    </row>
    <row r="16" spans="1:6">
      <c r="A16" s="1194" t="s">
        <v>6</v>
      </c>
      <c r="B16" s="333">
        <v>455</v>
      </c>
    </row>
    <row r="17" spans="1:6">
      <c r="A17" s="1194" t="s">
        <v>7</v>
      </c>
      <c r="B17" s="333">
        <v>191</v>
      </c>
    </row>
    <row r="18" spans="1:6">
      <c r="A18" s="1194" t="s">
        <v>8</v>
      </c>
      <c r="B18" s="333">
        <v>432</v>
      </c>
    </row>
    <row r="19" spans="1:6">
      <c r="A19" s="1194" t="s">
        <v>9</v>
      </c>
      <c r="B19" s="333">
        <v>388</v>
      </c>
    </row>
    <row r="20" spans="1:6">
      <c r="A20" s="1194" t="s">
        <v>10</v>
      </c>
      <c r="B20" s="333">
        <v>202</v>
      </c>
    </row>
    <row r="21" spans="1:6">
      <c r="A21" s="1194" t="s">
        <v>11</v>
      </c>
      <c r="B21" s="333">
        <v>2206</v>
      </c>
    </row>
    <row r="22" spans="1:6">
      <c r="A22" s="1194" t="s">
        <v>12</v>
      </c>
      <c r="B22" s="333">
        <v>2311</v>
      </c>
    </row>
    <row r="23" spans="1:6">
      <c r="A23" s="1194" t="s">
        <v>13</v>
      </c>
      <c r="B23" s="333">
        <v>36</v>
      </c>
    </row>
    <row r="24" spans="1:6">
      <c r="A24" s="1194" t="s">
        <v>14</v>
      </c>
      <c r="B24" s="333">
        <v>5</v>
      </c>
    </row>
    <row r="25" spans="1:6">
      <c r="A25" s="1194" t="s">
        <v>15</v>
      </c>
      <c r="B25" s="333">
        <v>750</v>
      </c>
    </row>
    <row r="26" spans="1:6">
      <c r="A26" s="1194" t="s">
        <v>16</v>
      </c>
      <c r="B26" s="333">
        <v>45</v>
      </c>
    </row>
    <row r="27" spans="1:6">
      <c r="A27" s="1194" t="s">
        <v>17</v>
      </c>
      <c r="B27" s="333">
        <v>10</v>
      </c>
    </row>
    <row r="28" spans="1:6">
      <c r="A28" s="1194" t="s">
        <v>18</v>
      </c>
      <c r="B28" s="333">
        <v>45668</v>
      </c>
    </row>
    <row r="29" spans="1:6">
      <c r="A29" s="1194" t="s">
        <v>888</v>
      </c>
      <c r="B29" s="333">
        <v>177</v>
      </c>
    </row>
    <row r="30" spans="1:6">
      <c r="A30" s="1190" t="s">
        <v>889</v>
      </c>
      <c r="B30" s="1190">
        <v>62</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6</v>
      </c>
      <c r="F36" s="333">
        <v>217530</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7290</v>
      </c>
      <c r="D39" s="333">
        <v>133463872</v>
      </c>
      <c r="E39" s="333">
        <v>13715</v>
      </c>
      <c r="F39" s="333">
        <v>60047112</v>
      </c>
    </row>
    <row r="40" spans="1:6">
      <c r="A40" s="1194" t="s">
        <v>30</v>
      </c>
      <c r="B40" s="1194" t="s">
        <v>29</v>
      </c>
      <c r="C40" s="333">
        <v>0</v>
      </c>
      <c r="D40" s="333">
        <v>0</v>
      </c>
      <c r="E40" s="333">
        <v>0</v>
      </c>
      <c r="F40" s="333">
        <v>0</v>
      </c>
    </row>
    <row r="41" spans="1:6">
      <c r="A41" s="1194" t="s">
        <v>32</v>
      </c>
      <c r="B41" s="1194" t="s">
        <v>33</v>
      </c>
      <c r="C41" s="333">
        <v>79</v>
      </c>
      <c r="D41" s="333">
        <v>4349677</v>
      </c>
      <c r="E41" s="333">
        <v>179</v>
      </c>
      <c r="F41" s="333">
        <v>19733015</v>
      </c>
    </row>
    <row r="42" spans="1:6">
      <c r="A42" s="1194" t="s">
        <v>32</v>
      </c>
      <c r="B42" s="1194" t="s">
        <v>34</v>
      </c>
      <c r="C42" s="333">
        <v>0</v>
      </c>
      <c r="D42" s="333">
        <v>0</v>
      </c>
      <c r="E42" s="333">
        <v>0</v>
      </c>
      <c r="F42" s="333">
        <v>0</v>
      </c>
    </row>
    <row r="43" spans="1:6">
      <c r="A43" s="1194" t="s">
        <v>32</v>
      </c>
      <c r="B43" s="1194" t="s">
        <v>35</v>
      </c>
      <c r="C43" s="333">
        <v>0</v>
      </c>
      <c r="D43" s="333">
        <v>0</v>
      </c>
      <c r="E43" s="333">
        <v>4</v>
      </c>
      <c r="F43" s="333">
        <v>2116523</v>
      </c>
    </row>
    <row r="44" spans="1:6">
      <c r="A44" s="1194" t="s">
        <v>32</v>
      </c>
      <c r="B44" s="1194" t="s">
        <v>36</v>
      </c>
      <c r="C44" s="333">
        <v>18</v>
      </c>
      <c r="D44" s="333">
        <v>24811664</v>
      </c>
      <c r="E44" s="333">
        <v>44</v>
      </c>
      <c r="F44" s="333">
        <v>46215657</v>
      </c>
    </row>
    <row r="45" spans="1:6">
      <c r="A45" s="1194" t="s">
        <v>32</v>
      </c>
      <c r="B45" s="1194" t="s">
        <v>37</v>
      </c>
      <c r="C45" s="333">
        <v>3</v>
      </c>
      <c r="D45" s="333">
        <v>294663</v>
      </c>
      <c r="E45" s="333">
        <v>17</v>
      </c>
      <c r="F45" s="333">
        <v>1396583</v>
      </c>
    </row>
    <row r="46" spans="1:6">
      <c r="A46" s="1194" t="s">
        <v>32</v>
      </c>
      <c r="B46" s="1194" t="s">
        <v>38</v>
      </c>
      <c r="C46" s="333">
        <v>0</v>
      </c>
      <c r="D46" s="333">
        <v>0</v>
      </c>
      <c r="E46" s="333">
        <v>0</v>
      </c>
      <c r="F46" s="333">
        <v>0</v>
      </c>
    </row>
    <row r="47" spans="1:6">
      <c r="A47" s="1194" t="s">
        <v>32</v>
      </c>
      <c r="B47" s="1194" t="s">
        <v>39</v>
      </c>
      <c r="C47" s="333">
        <v>4</v>
      </c>
      <c r="D47" s="333">
        <v>210334</v>
      </c>
      <c r="E47" s="333">
        <v>12</v>
      </c>
      <c r="F47" s="333">
        <v>2006219</v>
      </c>
    </row>
    <row r="48" spans="1:6">
      <c r="A48" s="1194" t="s">
        <v>32</v>
      </c>
      <c r="B48" s="1194" t="s">
        <v>29</v>
      </c>
      <c r="C48" s="333">
        <v>7</v>
      </c>
      <c r="D48" s="333">
        <v>1558230</v>
      </c>
      <c r="E48" s="333">
        <v>2</v>
      </c>
      <c r="F48" s="333">
        <v>1411868</v>
      </c>
    </row>
    <row r="49" spans="1:6">
      <c r="A49" s="1194" t="s">
        <v>32</v>
      </c>
      <c r="B49" s="1194" t="s">
        <v>40</v>
      </c>
      <c r="C49" s="333">
        <v>0</v>
      </c>
      <c r="D49" s="333">
        <v>0</v>
      </c>
      <c r="E49" s="333">
        <v>6</v>
      </c>
      <c r="F49" s="333">
        <v>73392</v>
      </c>
    </row>
    <row r="50" spans="1:6">
      <c r="A50" s="1194" t="s">
        <v>32</v>
      </c>
      <c r="B50" s="1194" t="s">
        <v>41</v>
      </c>
      <c r="C50" s="333">
        <v>9</v>
      </c>
      <c r="D50" s="333">
        <v>228531392</v>
      </c>
      <c r="E50" s="333">
        <v>23</v>
      </c>
      <c r="F50" s="333">
        <v>49818991</v>
      </c>
    </row>
    <row r="51" spans="1:6">
      <c r="A51" s="1194" t="s">
        <v>42</v>
      </c>
      <c r="B51" s="1194" t="s">
        <v>43</v>
      </c>
      <c r="C51" s="333">
        <v>6</v>
      </c>
      <c r="D51" s="333">
        <v>496327</v>
      </c>
      <c r="E51" s="333">
        <v>36</v>
      </c>
      <c r="F51" s="333">
        <v>780333</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148</v>
      </c>
      <c r="F54" s="333">
        <v>2089839</v>
      </c>
    </row>
    <row r="55" spans="1:6">
      <c r="A55" s="1194" t="s">
        <v>46</v>
      </c>
      <c r="B55" s="1194" t="s">
        <v>29</v>
      </c>
      <c r="C55" s="333">
        <v>0</v>
      </c>
      <c r="D55" s="333">
        <v>0</v>
      </c>
      <c r="E55" s="333">
        <v>0</v>
      </c>
      <c r="F55" s="333">
        <v>0</v>
      </c>
    </row>
    <row r="56" spans="1:6">
      <c r="A56" s="1194" t="s">
        <v>48</v>
      </c>
      <c r="B56" s="1194" t="s">
        <v>29</v>
      </c>
      <c r="C56" s="333">
        <v>93</v>
      </c>
      <c r="D56" s="333">
        <v>7301102</v>
      </c>
      <c r="E56" s="333">
        <v>260</v>
      </c>
      <c r="F56" s="333">
        <v>11230690</v>
      </c>
    </row>
    <row r="57" spans="1:6">
      <c r="A57" s="1194" t="s">
        <v>49</v>
      </c>
      <c r="B57" s="1194" t="s">
        <v>50</v>
      </c>
      <c r="C57" s="333">
        <v>71</v>
      </c>
      <c r="D57" s="333">
        <v>2626842</v>
      </c>
      <c r="E57" s="333">
        <v>142</v>
      </c>
      <c r="F57" s="333">
        <v>17144578</v>
      </c>
    </row>
    <row r="58" spans="1:6">
      <c r="A58" s="1194" t="s">
        <v>49</v>
      </c>
      <c r="B58" s="1194" t="s">
        <v>51</v>
      </c>
      <c r="C58" s="333">
        <v>33</v>
      </c>
      <c r="D58" s="333">
        <v>1755441</v>
      </c>
      <c r="E58" s="333">
        <v>63</v>
      </c>
      <c r="F58" s="333">
        <v>880771</v>
      </c>
    </row>
    <row r="59" spans="1:6">
      <c r="A59" s="1194" t="s">
        <v>49</v>
      </c>
      <c r="B59" s="1194" t="s">
        <v>52</v>
      </c>
      <c r="C59" s="333">
        <v>227</v>
      </c>
      <c r="D59" s="333">
        <v>12963778</v>
      </c>
      <c r="E59" s="333">
        <v>421</v>
      </c>
      <c r="F59" s="333">
        <v>16929203</v>
      </c>
    </row>
    <row r="60" spans="1:6">
      <c r="A60" s="1194" t="s">
        <v>49</v>
      </c>
      <c r="B60" s="1194" t="s">
        <v>53</v>
      </c>
      <c r="C60" s="333">
        <v>92</v>
      </c>
      <c r="D60" s="333">
        <v>32696328</v>
      </c>
      <c r="E60" s="333">
        <v>139</v>
      </c>
      <c r="F60" s="333">
        <v>5640141</v>
      </c>
    </row>
    <row r="61" spans="1:6">
      <c r="A61" s="1194" t="s">
        <v>49</v>
      </c>
      <c r="B61" s="1194" t="s">
        <v>54</v>
      </c>
      <c r="C61" s="333">
        <v>172</v>
      </c>
      <c r="D61" s="333">
        <v>23686637</v>
      </c>
      <c r="E61" s="333">
        <v>465</v>
      </c>
      <c r="F61" s="333">
        <v>14629772</v>
      </c>
    </row>
    <row r="62" spans="1:6">
      <c r="A62" s="1194" t="s">
        <v>49</v>
      </c>
      <c r="B62" s="1194" t="s">
        <v>55</v>
      </c>
      <c r="C62" s="333">
        <v>8</v>
      </c>
      <c r="D62" s="333">
        <v>1322355</v>
      </c>
      <c r="E62" s="333">
        <v>22</v>
      </c>
      <c r="F62" s="333">
        <v>534646</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1</v>
      </c>
      <c r="D65" s="333">
        <v>14447</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6</v>
      </c>
      <c r="D68" s="333">
        <v>192269</v>
      </c>
      <c r="E68" s="333">
        <v>11</v>
      </c>
      <c r="F68" s="333">
        <v>95189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147484438</v>
      </c>
      <c r="E73" s="333">
        <v>151100723.50256094</v>
      </c>
      <c r="F73" s="333">
        <v>147297445</v>
      </c>
    </row>
    <row r="74" spans="1:6">
      <c r="A74" s="1194" t="s">
        <v>64</v>
      </c>
      <c r="B74" s="1194" t="s">
        <v>775</v>
      </c>
      <c r="C74" s="1205" t="s">
        <v>776</v>
      </c>
      <c r="D74" s="333">
        <v>8225672.1671690689</v>
      </c>
      <c r="E74" s="333">
        <v>8639634.204606317</v>
      </c>
      <c r="F74" s="333">
        <v>8391866.8414533623</v>
      </c>
    </row>
    <row r="75" spans="1:6">
      <c r="A75" s="1194" t="s">
        <v>65</v>
      </c>
      <c r="B75" s="1194" t="s">
        <v>773</v>
      </c>
      <c r="C75" s="1205" t="s">
        <v>777</v>
      </c>
      <c r="D75" s="333">
        <v>40073291</v>
      </c>
      <c r="E75" s="333">
        <v>40781387.648284256</v>
      </c>
      <c r="F75" s="333">
        <v>39757121</v>
      </c>
    </row>
    <row r="76" spans="1:6">
      <c r="A76" s="1194" t="s">
        <v>65</v>
      </c>
      <c r="B76" s="1194" t="s">
        <v>775</v>
      </c>
      <c r="C76" s="1205" t="s">
        <v>778</v>
      </c>
      <c r="D76" s="333">
        <v>480057.16716906906</v>
      </c>
      <c r="E76" s="333">
        <v>562457.37054342416</v>
      </c>
      <c r="F76" s="333">
        <v>522796.84145336191</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697233.66566186189</v>
      </c>
      <c r="C83" s="333">
        <v>637539.76573127322</v>
      </c>
      <c r="D83" s="333">
        <v>648596.31709327619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26429.898546116718</v>
      </c>
    </row>
    <row r="91" spans="1:6">
      <c r="A91" s="1194" t="s">
        <v>68</v>
      </c>
      <c r="B91" s="333">
        <v>4855.3564934788192</v>
      </c>
    </row>
    <row r="92" spans="1:6">
      <c r="A92" s="1190" t="s">
        <v>69</v>
      </c>
      <c r="B92" s="336">
        <v>6537.1199744364467</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3255</v>
      </c>
    </row>
    <row r="98" spans="1:6">
      <c r="A98" s="1194" t="s">
        <v>72</v>
      </c>
      <c r="B98" s="333">
        <v>3</v>
      </c>
    </row>
    <row r="99" spans="1:6">
      <c r="A99" s="1194" t="s">
        <v>73</v>
      </c>
      <c r="B99" s="333">
        <v>121</v>
      </c>
    </row>
    <row r="100" spans="1:6">
      <c r="A100" s="1194" t="s">
        <v>74</v>
      </c>
      <c r="B100" s="333">
        <v>517</v>
      </c>
    </row>
    <row r="101" spans="1:6">
      <c r="A101" s="1194" t="s">
        <v>75</v>
      </c>
      <c r="B101" s="333">
        <v>132</v>
      </c>
    </row>
    <row r="102" spans="1:6">
      <c r="A102" s="1194" t="s">
        <v>76</v>
      </c>
      <c r="B102" s="333">
        <v>111</v>
      </c>
    </row>
    <row r="103" spans="1:6">
      <c r="A103" s="1194" t="s">
        <v>77</v>
      </c>
      <c r="B103" s="333">
        <v>171</v>
      </c>
    </row>
    <row r="104" spans="1:6">
      <c r="A104" s="1194" t="s">
        <v>78</v>
      </c>
      <c r="B104" s="333">
        <v>7050</v>
      </c>
    </row>
    <row r="105" spans="1:6">
      <c r="A105" s="1190" t="s">
        <v>79</v>
      </c>
      <c r="B105" s="1190">
        <v>9</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17</v>
      </c>
      <c r="C123" s="333">
        <v>14</v>
      </c>
    </row>
    <row r="124" spans="1:6">
      <c r="A124" s="1190" t="s">
        <v>89</v>
      </c>
      <c r="B124" s="333">
        <v>0</v>
      </c>
      <c r="C124" s="333">
        <v>1</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126</v>
      </c>
    </row>
    <row r="130" spans="1:6">
      <c r="A130" s="1194" t="s">
        <v>296</v>
      </c>
      <c r="B130" s="333">
        <v>1</v>
      </c>
    </row>
    <row r="131" spans="1:6">
      <c r="A131" s="1194" t="s">
        <v>297</v>
      </c>
      <c r="B131" s="333">
        <v>3</v>
      </c>
    </row>
    <row r="132" spans="1:6">
      <c r="A132" s="1190" t="s">
        <v>298</v>
      </c>
      <c r="B132" s="336">
        <v>12</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264447.24695969827</v>
      </c>
      <c r="C3" s="43" t="s">
        <v>171</v>
      </c>
      <c r="D3" s="43"/>
      <c r="E3" s="156"/>
      <c r="F3" s="43"/>
      <c r="G3" s="43"/>
      <c r="H3" s="43"/>
      <c r="I3" s="43"/>
      <c r="J3" s="43"/>
      <c r="K3" s="96"/>
    </row>
    <row r="4" spans="1:11">
      <c r="A4" s="364" t="s">
        <v>172</v>
      </c>
      <c r="B4" s="49">
        <f>IF(ISERROR('SEAP template'!B69),0,'SEAP template'!B69)</f>
        <v>55964.125014031983</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5.8817647058823548</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0.17425271862149816</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8.4025210084033635</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25916.785714285714</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3.2421154000481509E-4</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2089.8389999999999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2089.8389999999999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0.17425271862149816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364.1601272312331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60047.112000000001</v>
      </c>
      <c r="C5" s="17">
        <f>IF(ISERROR('Eigen informatie GS &amp; warmtenet'!B57),0,'Eigen informatie GS &amp; warmtenet'!B57)</f>
        <v>0</v>
      </c>
      <c r="D5" s="30">
        <f>(SUM(HH_hh_gas_kWh,HH_rest_gas_kWh)/1000)*0.902</f>
        <v>120384.41254400001</v>
      </c>
      <c r="E5" s="17">
        <f>B46*B57</f>
        <v>8286.20233590526</v>
      </c>
      <c r="F5" s="17">
        <f>B51*B62</f>
        <v>77948.998884583663</v>
      </c>
      <c r="G5" s="18"/>
      <c r="H5" s="17"/>
      <c r="I5" s="17"/>
      <c r="J5" s="17">
        <f>B50*B61+C50*C61</f>
        <v>0</v>
      </c>
      <c r="K5" s="17"/>
      <c r="L5" s="17"/>
      <c r="M5" s="17"/>
      <c r="N5" s="17">
        <f>B48*B59+C48*C59</f>
        <v>26154.353882529471</v>
      </c>
      <c r="O5" s="17">
        <f>B69*B70*B71</f>
        <v>220.43000000000004</v>
      </c>
      <c r="P5" s="17">
        <f>B77*B78*B79/1000-B77*B78*B79/1000/B80</f>
        <v>552.93333333333339</v>
      </c>
    </row>
    <row r="6" spans="1:16">
      <c r="A6" s="16" t="s">
        <v>633</v>
      </c>
      <c r="B6" s="830">
        <f>kWh_PV_kleiner_dan_10kW</f>
        <v>4855.3564934788192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64902.468493478824</v>
      </c>
      <c r="C8" s="21">
        <f>C5</f>
        <v>0</v>
      </c>
      <c r="D8" s="21">
        <f>D5</f>
        <v>120384.41254400001</v>
      </c>
      <c r="E8" s="21">
        <f>E5</f>
        <v>8286.20233590526</v>
      </c>
      <c r="F8" s="21">
        <f>F5</f>
        <v>77948.998884583663</v>
      </c>
      <c r="G8" s="21"/>
      <c r="H8" s="21"/>
      <c r="I8" s="21"/>
      <c r="J8" s="21">
        <f>J5</f>
        <v>0</v>
      </c>
      <c r="K8" s="21"/>
      <c r="L8" s="21">
        <f>L5</f>
        <v>0</v>
      </c>
      <c r="M8" s="21">
        <f>M5</f>
        <v>0</v>
      </c>
      <c r="N8" s="21">
        <f>N5</f>
        <v>26154.353882529471</v>
      </c>
      <c r="O8" s="21">
        <f>O5</f>
        <v>220.43000000000004</v>
      </c>
      <c r="P8" s="21">
        <f>P5</f>
        <v>552.93333333333339</v>
      </c>
    </row>
    <row r="9" spans="1:16">
      <c r="B9" s="19"/>
      <c r="C9" s="19"/>
      <c r="D9" s="260"/>
      <c r="E9" s="19"/>
      <c r="F9" s="19"/>
      <c r="G9" s="19"/>
      <c r="H9" s="19"/>
      <c r="I9" s="19"/>
      <c r="J9" s="19"/>
      <c r="K9" s="19"/>
      <c r="L9" s="19"/>
      <c r="M9" s="19"/>
      <c r="N9" s="19"/>
      <c r="O9" s="19"/>
      <c r="P9" s="19"/>
    </row>
    <row r="10" spans="1:16">
      <c r="A10" s="24" t="s">
        <v>215</v>
      </c>
      <c r="B10" s="25">
        <f ca="1">'EF ele_warmte'!B12</f>
        <v>0.17425271862149816</v>
      </c>
      <c r="C10" s="25">
        <f ca="1">'EF ele_warmte'!B22</f>
        <v>3.2421154000481509E-4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11309.431580234816</v>
      </c>
      <c r="C12" s="23">
        <f ca="1">C10*C8</f>
        <v>0</v>
      </c>
      <c r="D12" s="23">
        <f>D8*D10</f>
        <v>24317.651333888003</v>
      </c>
      <c r="E12" s="23">
        <f>E10*E8</f>
        <v>1880.9679302504942</v>
      </c>
      <c r="F12" s="23">
        <f>F10*F8</f>
        <v>20812.382702183841</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3255</v>
      </c>
      <c r="C18" s="167" t="s">
        <v>111</v>
      </c>
      <c r="D18" s="229"/>
      <c r="E18" s="15"/>
    </row>
    <row r="19" spans="1:7">
      <c r="A19" s="172" t="s">
        <v>72</v>
      </c>
      <c r="B19" s="37">
        <f>aantalw2001_ander</f>
        <v>3</v>
      </c>
      <c r="C19" s="167" t="s">
        <v>111</v>
      </c>
      <c r="D19" s="230"/>
      <c r="E19" s="15"/>
    </row>
    <row r="20" spans="1:7">
      <c r="A20" s="172" t="s">
        <v>73</v>
      </c>
      <c r="B20" s="37">
        <f>aantalw2001_propaan</f>
        <v>121</v>
      </c>
      <c r="C20" s="168">
        <f>IF(ISERROR(B20/SUM($B$20,$B$21,$B$22)*100),0,B20/SUM($B$20,$B$21,$B$22)*100)</f>
        <v>15.714285714285714</v>
      </c>
      <c r="D20" s="230"/>
      <c r="E20" s="15"/>
    </row>
    <row r="21" spans="1:7">
      <c r="A21" s="172" t="s">
        <v>74</v>
      </c>
      <c r="B21" s="37">
        <f>aantalw2001_elektriciteit</f>
        <v>517</v>
      </c>
      <c r="C21" s="168">
        <f>IF(ISERROR(B21/SUM($B$20,$B$21,$B$22)*100),0,B21/SUM($B$20,$B$21,$B$22)*100)</f>
        <v>67.142857142857139</v>
      </c>
      <c r="D21" s="230"/>
      <c r="E21" s="15"/>
    </row>
    <row r="22" spans="1:7">
      <c r="A22" s="172" t="s">
        <v>75</v>
      </c>
      <c r="B22" s="37">
        <f>aantalw2001_hout</f>
        <v>132</v>
      </c>
      <c r="C22" s="168">
        <f>IF(ISERROR(B22/SUM($B$20,$B$21,$B$22)*100),0,B22/SUM($B$20,$B$21,$B$22)*100)</f>
        <v>17.142857142857142</v>
      </c>
      <c r="D22" s="230"/>
      <c r="E22" s="15"/>
    </row>
    <row r="23" spans="1:7">
      <c r="A23" s="172" t="s">
        <v>76</v>
      </c>
      <c r="B23" s="37">
        <f>aantalw2001_niet_gespec</f>
        <v>111</v>
      </c>
      <c r="C23" s="167" t="s">
        <v>111</v>
      </c>
      <c r="D23" s="229"/>
      <c r="E23" s="15"/>
    </row>
    <row r="24" spans="1:7">
      <c r="A24" s="172" t="s">
        <v>77</v>
      </c>
      <c r="B24" s="37">
        <f>aantalw2001_steenkool</f>
        <v>171</v>
      </c>
      <c r="C24" s="167" t="s">
        <v>111</v>
      </c>
      <c r="D24" s="230"/>
      <c r="E24" s="15"/>
    </row>
    <row r="25" spans="1:7">
      <c r="A25" s="172" t="s">
        <v>78</v>
      </c>
      <c r="B25" s="37">
        <f>aantalw2001_stookolie</f>
        <v>7050</v>
      </c>
      <c r="C25" s="167" t="s">
        <v>111</v>
      </c>
      <c r="D25" s="229"/>
      <c r="E25" s="52"/>
    </row>
    <row r="26" spans="1:7">
      <c r="A26" s="172" t="s">
        <v>79</v>
      </c>
      <c r="B26" s="37">
        <f>aantalw2001_WP</f>
        <v>9</v>
      </c>
      <c r="C26" s="167" t="s">
        <v>111</v>
      </c>
      <c r="D26" s="229"/>
      <c r="E26" s="15"/>
    </row>
    <row r="27" spans="1:7" s="15" customFormat="1">
      <c r="A27" s="172"/>
      <c r="B27" s="29"/>
      <c r="C27" s="36"/>
      <c r="D27" s="229"/>
    </row>
    <row r="28" spans="1:7" s="15" customFormat="1">
      <c r="A28" s="231" t="s">
        <v>713</v>
      </c>
      <c r="B28" s="37">
        <f>aantalHuishoudens2011</f>
        <v>13301</v>
      </c>
      <c r="C28" s="36"/>
      <c r="D28" s="229"/>
    </row>
    <row r="29" spans="1:7" s="15" customFormat="1">
      <c r="A29" s="231" t="s">
        <v>714</v>
      </c>
      <c r="B29" s="37">
        <f>SUM(HH_hh_gas_aantal,HH_rest_gas_aantal)</f>
        <v>7290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7290</v>
      </c>
      <c r="C32" s="168">
        <f>IF(ISERROR(B32/SUM($B$32,$B$34,$B$35,$B$36,$B$38,$B$39)*100),0,B32/SUM($B$32,$B$34,$B$35,$B$36,$B$38,$B$39)*100)</f>
        <v>54.927667269439418</v>
      </c>
      <c r="D32" s="234"/>
      <c r="G32" s="15"/>
    </row>
    <row r="33" spans="1:7">
      <c r="A33" s="172" t="s">
        <v>72</v>
      </c>
      <c r="B33" s="34" t="s">
        <v>111</v>
      </c>
      <c r="C33" s="168"/>
      <c r="D33" s="234"/>
      <c r="G33" s="15"/>
    </row>
    <row r="34" spans="1:7">
      <c r="A34" s="172" t="s">
        <v>73</v>
      </c>
      <c r="B34" s="33">
        <f>IF((($B$28-$B$32-$B$39-$B$77-$B$38)*C20/100)&lt;0,0,($B$28-$B$32-$B$39-$B$77-$B$38)*C20/100)</f>
        <v>402.83571428571429</v>
      </c>
      <c r="C34" s="168">
        <f>IF(ISERROR(B34/SUM($B$32,$B$34,$B$35,$B$36,$B$38,$B$39)*100),0,B34/SUM($B$32,$B$34,$B$35,$B$36,$B$38,$B$39)*100)</f>
        <v>3.0352299147507105</v>
      </c>
      <c r="D34" s="234"/>
      <c r="G34" s="15"/>
    </row>
    <row r="35" spans="1:7">
      <c r="A35" s="172" t="s">
        <v>74</v>
      </c>
      <c r="B35" s="33">
        <f>IF((($B$28-$B$32-$B$39-$B$77-$B$38)*C21/100)&lt;0,0,($B$28-$B$32-$B$39-$B$77-$B$38)*C21/100)</f>
        <v>1721.2071428571426</v>
      </c>
      <c r="C35" s="168">
        <f>IF(ISERROR(B35/SUM($B$32,$B$34,$B$35,$B$36,$B$38,$B$39)*100),0,B35/SUM($B$32,$B$34,$B$35,$B$36,$B$38,$B$39)*100)</f>
        <v>12.968709635753035</v>
      </c>
      <c r="D35" s="234"/>
      <c r="G35" s="15"/>
    </row>
    <row r="36" spans="1:7">
      <c r="A36" s="172" t="s">
        <v>75</v>
      </c>
      <c r="B36" s="33">
        <f>IF((($B$28-$B$32-$B$39-$B$77-$B$38)*C22/100)&lt;0,0,($B$28-$B$32-$B$39-$B$77-$B$38)*C22/100)</f>
        <v>439.4571428571428</v>
      </c>
      <c r="C36" s="168">
        <f>IF(ISERROR(B36/SUM($B$32,$B$34,$B$35,$B$36,$B$38,$B$39)*100),0,B36/SUM($B$32,$B$34,$B$35,$B$36,$B$38,$B$39)*100)</f>
        <v>3.3111599070007749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3418.5</v>
      </c>
      <c r="C39" s="168">
        <f>IF(ISERROR(B39/SUM($B$32,$B$34,$B$35,$B$36,$B$38,$B$39)*100),0,B39/SUM($B$32,$B$34,$B$35,$B$36,$B$38,$B$39)*100)</f>
        <v>25.757233273056059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7290</v>
      </c>
      <c r="C44" s="34" t="s">
        <v>111</v>
      </c>
      <c r="D44" s="175"/>
    </row>
    <row r="45" spans="1:7">
      <c r="A45" s="172" t="s">
        <v>72</v>
      </c>
      <c r="B45" s="33" t="str">
        <f t="shared" si="0"/>
        <v>-</v>
      </c>
      <c r="C45" s="34" t="s">
        <v>111</v>
      </c>
      <c r="D45" s="175"/>
    </row>
    <row r="46" spans="1:7">
      <c r="A46" s="172" t="s">
        <v>73</v>
      </c>
      <c r="B46" s="33">
        <f t="shared" si="0"/>
        <v>402.83571428571429</v>
      </c>
      <c r="C46" s="34" t="s">
        <v>111</v>
      </c>
      <c r="D46" s="175"/>
    </row>
    <row r="47" spans="1:7">
      <c r="A47" s="172" t="s">
        <v>74</v>
      </c>
      <c r="B47" s="33">
        <f t="shared" si="0"/>
        <v>1721.2071428571426</v>
      </c>
      <c r="C47" s="34" t="s">
        <v>111</v>
      </c>
      <c r="D47" s="175"/>
    </row>
    <row r="48" spans="1:7">
      <c r="A48" s="172" t="s">
        <v>75</v>
      </c>
      <c r="B48" s="33">
        <f t="shared" si="0"/>
        <v>439.4571428571428</v>
      </c>
      <c r="C48" s="33">
        <f>B48*10</f>
        <v>4394.5714285714275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3418.5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141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29</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55759.111000000004</v>
      </c>
      <c r="C5" s="17">
        <f>IF(ISERROR('Eigen informatie GS &amp; warmtenet'!B58),0,'Eigen informatie GS &amp; warmtenet'!B58)</f>
        <v>0</v>
      </c>
      <c r="D5" s="30">
        <f>SUM(D6:D12)</f>
        <v>67696.345661999992</v>
      </c>
      <c r="E5" s="17">
        <f>SUM(E6:E12)</f>
        <v>1022.4775979362454</v>
      </c>
      <c r="F5" s="17">
        <f>SUM(F6:F12)</f>
        <v>10960.03572068569</v>
      </c>
      <c r="G5" s="18"/>
      <c r="H5" s="17"/>
      <c r="I5" s="17"/>
      <c r="J5" s="17">
        <f>SUM(J6:J12)</f>
        <v>0</v>
      </c>
      <c r="K5" s="17"/>
      <c r="L5" s="17"/>
      <c r="M5" s="17"/>
      <c r="N5" s="17">
        <f>SUM(N6:N12)</f>
        <v>4081.6440863950716</v>
      </c>
      <c r="O5" s="17">
        <f>B38*B39*B40</f>
        <v>1.5633333333333335</v>
      </c>
      <c r="P5" s="17">
        <f>B46*B47*B48/1000-B46*B47*B48/1000/B49</f>
        <v>57.2</v>
      </c>
      <c r="R5" s="32"/>
    </row>
    <row r="6" spans="1:18">
      <c r="A6" s="32" t="s">
        <v>54</v>
      </c>
      <c r="B6" s="37">
        <f>B26</f>
        <v>14629.772000000001</v>
      </c>
      <c r="C6" s="33"/>
      <c r="D6" s="37">
        <f>IF(ISERROR(TER_kantoor_gas_kWh/1000),0,TER_kantoor_gas_kWh/1000)*0.902</f>
        <v>21365.346573999999</v>
      </c>
      <c r="E6" s="33">
        <f>$C$26*'E Balans VL '!I12/100/3.6*1000000</f>
        <v>512.09956981637947</v>
      </c>
      <c r="F6" s="33">
        <f>$C$26*('E Balans VL '!L12+'E Balans VL '!N12)/100/3.6*1000000</f>
        <v>2218.1875333269609</v>
      </c>
      <c r="G6" s="34"/>
      <c r="H6" s="33"/>
      <c r="I6" s="33"/>
      <c r="J6" s="33">
        <f>$C$26*('E Balans VL '!D12+'E Balans VL '!E12)/100/3.6*1000000</f>
        <v>0</v>
      </c>
      <c r="K6" s="33"/>
      <c r="L6" s="33"/>
      <c r="M6" s="33"/>
      <c r="N6" s="33">
        <f>$C$26*'E Balans VL '!Y12/100/3.6*1000000</f>
        <v>113.08355856738356</v>
      </c>
      <c r="O6" s="33"/>
      <c r="P6" s="33"/>
      <c r="R6" s="32"/>
    </row>
    <row r="7" spans="1:18">
      <c r="A7" s="32" t="s">
        <v>53</v>
      </c>
      <c r="B7" s="37">
        <f t="shared" ref="B7:B12" si="0">B27</f>
        <v>5640.1409999999996</v>
      </c>
      <c r="C7" s="33"/>
      <c r="D7" s="37">
        <f>IF(ISERROR(TER_horeca_gas_kWh/1000),0,TER_horeca_gas_kWh/1000)*0.902</f>
        <v>29492.087856000002</v>
      </c>
      <c r="E7" s="33">
        <f>$C$27*'E Balans VL '!I9/100/3.6*1000000</f>
        <v>318.17894801077404</v>
      </c>
      <c r="F7" s="33">
        <f>$C$27*('E Balans VL '!L9+'E Balans VL '!N9)/100/3.6*1000000</f>
        <v>982.5437751410492</v>
      </c>
      <c r="G7" s="34"/>
      <c r="H7" s="33"/>
      <c r="I7" s="33"/>
      <c r="J7" s="33">
        <f>$C$27*('E Balans VL '!D9+'E Balans VL '!E9)/100/3.6*1000000</f>
        <v>0</v>
      </c>
      <c r="K7" s="33"/>
      <c r="L7" s="33"/>
      <c r="M7" s="33"/>
      <c r="N7" s="33">
        <f>$C$27*'E Balans VL '!Y9/100/3.6*1000000</f>
        <v>0</v>
      </c>
      <c r="O7" s="33"/>
      <c r="P7" s="33"/>
      <c r="R7" s="32"/>
    </row>
    <row r="8" spans="1:18">
      <c r="A8" s="6" t="s">
        <v>52</v>
      </c>
      <c r="B8" s="37">
        <f t="shared" si="0"/>
        <v>16929.203000000001</v>
      </c>
      <c r="C8" s="33"/>
      <c r="D8" s="37">
        <f>IF(ISERROR(TER_handel_gas_kWh/1000),0,TER_handel_gas_kWh/1000)*0.902</f>
        <v>11693.327756000001</v>
      </c>
      <c r="E8" s="33">
        <f>$C$28*'E Balans VL '!I13/100/3.6*1000000</f>
        <v>86.912808219920748</v>
      </c>
      <c r="F8" s="33">
        <f>$C$28*('E Balans VL '!L13+'E Balans VL '!N13)/100/3.6*1000000</f>
        <v>2610.2215195609788</v>
      </c>
      <c r="G8" s="34"/>
      <c r="H8" s="33"/>
      <c r="I8" s="33"/>
      <c r="J8" s="33">
        <f>$C$28*('E Balans VL '!D13+'E Balans VL '!E13)/100/3.6*1000000</f>
        <v>0</v>
      </c>
      <c r="K8" s="33"/>
      <c r="L8" s="33"/>
      <c r="M8" s="33"/>
      <c r="N8" s="33">
        <f>$C$28*'E Balans VL '!Y13/100/3.6*1000000</f>
        <v>7.9179948918383101</v>
      </c>
      <c r="O8" s="33"/>
      <c r="P8" s="33"/>
      <c r="R8" s="32"/>
    </row>
    <row r="9" spans="1:18">
      <c r="A9" s="32" t="s">
        <v>51</v>
      </c>
      <c r="B9" s="37">
        <f t="shared" si="0"/>
        <v>880.77099999999996</v>
      </c>
      <c r="C9" s="33"/>
      <c r="D9" s="37">
        <f>IF(ISERROR(TER_gezond_gas_kWh/1000),0,TER_gezond_gas_kWh/1000)*0.902</f>
        <v>1583.407782</v>
      </c>
      <c r="E9" s="33">
        <f>$C$29*'E Balans VL '!I10/100/3.6*1000000</f>
        <v>0.36507330687374756</v>
      </c>
      <c r="F9" s="33">
        <f>$C$29*('E Balans VL '!L10+'E Balans VL '!N10)/100/3.6*1000000</f>
        <v>216.92126535885345</v>
      </c>
      <c r="G9" s="34"/>
      <c r="H9" s="33"/>
      <c r="I9" s="33"/>
      <c r="J9" s="33">
        <f>$C$29*('E Balans VL '!D10+'E Balans VL '!E10)/100/3.6*1000000</f>
        <v>0</v>
      </c>
      <c r="K9" s="33"/>
      <c r="L9" s="33"/>
      <c r="M9" s="33"/>
      <c r="N9" s="33">
        <f>$C$29*'E Balans VL '!Y10/100/3.6*1000000</f>
        <v>7.6120414584251694</v>
      </c>
      <c r="O9" s="33"/>
      <c r="P9" s="33"/>
      <c r="R9" s="32"/>
    </row>
    <row r="10" spans="1:18">
      <c r="A10" s="32" t="s">
        <v>50</v>
      </c>
      <c r="B10" s="37">
        <f t="shared" si="0"/>
        <v>17144.578000000001</v>
      </c>
      <c r="C10" s="33"/>
      <c r="D10" s="37">
        <f>IF(ISERROR(TER_ander_gas_kWh/1000),0,TER_ander_gas_kWh/1000)*0.902</f>
        <v>2369.4114840000002</v>
      </c>
      <c r="E10" s="33">
        <f>$C$30*'E Balans VL '!I14/100/3.6*1000000</f>
        <v>104.51377049098595</v>
      </c>
      <c r="F10" s="33">
        <f>$C$30*('E Balans VL '!L14+'E Balans VL '!N14)/100/3.6*1000000</f>
        <v>4545.262481877945</v>
      </c>
      <c r="G10" s="34"/>
      <c r="H10" s="33"/>
      <c r="I10" s="33"/>
      <c r="J10" s="33">
        <f>$C$30*('E Balans VL '!D14+'E Balans VL '!E14)/100/3.6*1000000</f>
        <v>0</v>
      </c>
      <c r="K10" s="33"/>
      <c r="L10" s="33"/>
      <c r="M10" s="33"/>
      <c r="N10" s="33">
        <f>$C$30*'E Balans VL '!Y14/100/3.6*1000000</f>
        <v>3951.4547619373589</v>
      </c>
      <c r="O10" s="33"/>
      <c r="P10" s="33"/>
      <c r="R10" s="32"/>
    </row>
    <row r="11" spans="1:18">
      <c r="A11" s="32" t="s">
        <v>55</v>
      </c>
      <c r="B11" s="37">
        <f t="shared" si="0"/>
        <v>534.64599999999996</v>
      </c>
      <c r="C11" s="33"/>
      <c r="D11" s="37">
        <f>IF(ISERROR(TER_onderwijs_gas_kWh/1000),0,TER_onderwijs_gas_kWh/1000)*0.902</f>
        <v>1192.76421</v>
      </c>
      <c r="E11" s="33">
        <f>$C$31*'E Balans VL '!I11/100/3.6*1000000</f>
        <v>0.40742809131132379</v>
      </c>
      <c r="F11" s="33">
        <f>$C$31*('E Balans VL '!L11+'E Balans VL '!N11)/100/3.6*1000000</f>
        <v>386.8991454199018</v>
      </c>
      <c r="G11" s="34"/>
      <c r="H11" s="33"/>
      <c r="I11" s="33"/>
      <c r="J11" s="33">
        <f>$C$31*('E Balans VL '!D11+'E Balans VL '!E11)/100/3.6*1000000</f>
        <v>0</v>
      </c>
      <c r="K11" s="33"/>
      <c r="L11" s="33"/>
      <c r="M11" s="33"/>
      <c r="N11" s="33">
        <f>$C$31*'E Balans VL '!Y11/100/3.6*1000000</f>
        <v>1.5757295400656324</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18141.75</v>
      </c>
      <c r="C13" s="248">
        <f ca="1">'lokale energieproductie'!O90+'lokale energieproductie'!O59</f>
        <v>25916.785714285714</v>
      </c>
      <c r="D13" s="311">
        <f ca="1">('lokale energieproductie'!P59+'lokale energieproductie'!P90)*(-1)</f>
        <v>-70.714285714285722</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-51762.857142857145</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73900.861000000004</v>
      </c>
      <c r="C16" s="21">
        <f ca="1">C5+C13+C14</f>
        <v>25916.785714285714</v>
      </c>
      <c r="D16" s="21">
        <f t="shared" ref="D16:N16" ca="1" si="1">MAX((D5+D13+D14),0)</f>
        <v>67625.631376285703</v>
      </c>
      <c r="E16" s="21">
        <f t="shared" si="1"/>
        <v>1022.4775979362454</v>
      </c>
      <c r="F16" s="21">
        <f t="shared" ca="1" si="1"/>
        <v>10960.03572068569</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0.17425271862149816</v>
      </c>
      <c r="C18" s="25">
        <f ca="1">'EF ele_warmte'!B22</f>
        <v>3.2421154000481509E-4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12877.425937719448</v>
      </c>
      <c r="C20" s="23">
        <f t="shared" ref="C20:P20" ca="1" si="2">C16*C18</f>
        <v>8.4025210084033635</v>
      </c>
      <c r="D20" s="23">
        <f t="shared" ca="1" si="2"/>
        <v>13660.377538009712</v>
      </c>
      <c r="E20" s="23">
        <f t="shared" si="2"/>
        <v>232.10241473152772</v>
      </c>
      <c r="F20" s="23">
        <f t="shared" ca="1" si="2"/>
        <v>2926.3295374230793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14629.772000000001</v>
      </c>
      <c r="C26" s="39">
        <f>IF(ISERROR(B26*3.6/1000000/'E Balans VL '!Z12*100),0,B26*3.6/1000000/'E Balans VL '!Z12*100)</f>
        <v>0.30785929008937107</v>
      </c>
      <c r="D26" s="238" t="s">
        <v>720</v>
      </c>
      <c r="F26" s="6"/>
    </row>
    <row r="27" spans="1:18">
      <c r="A27" s="232" t="s">
        <v>53</v>
      </c>
      <c r="B27" s="33">
        <f>IF(ISERROR(TER_horeca_ele_kWh/1000),0,TER_horeca_ele_kWh/1000)</f>
        <v>5640.1409999999996</v>
      </c>
      <c r="C27" s="39">
        <f>IF(ISERROR(B27*3.6/1000000/'E Balans VL '!Z9*100),0,B27*3.6/1000000/'E Balans VL '!Z9*100)</f>
        <v>0.47753488982055842</v>
      </c>
      <c r="D27" s="238" t="s">
        <v>720</v>
      </c>
      <c r="F27" s="6"/>
    </row>
    <row r="28" spans="1:18">
      <c r="A28" s="172" t="s">
        <v>52</v>
      </c>
      <c r="B28" s="33">
        <f>IF(ISERROR(TER_handel_ele_kWh/1000),0,TER_handel_ele_kWh/1000)</f>
        <v>16929.203000000001</v>
      </c>
      <c r="C28" s="39">
        <f>IF(ISERROR(B28*3.6/1000000/'E Balans VL '!Z13*100),0,B28*3.6/1000000/'E Balans VL '!Z13*100)</f>
        <v>0.46868264410096455</v>
      </c>
      <c r="D28" s="238" t="s">
        <v>720</v>
      </c>
      <c r="F28" s="6"/>
    </row>
    <row r="29" spans="1:18">
      <c r="A29" s="232" t="s">
        <v>51</v>
      </c>
      <c r="B29" s="33">
        <f>IF(ISERROR(TER_gezond_ele_kWh/1000),0,TER_gezond_ele_kWh/1000)</f>
        <v>880.77099999999996</v>
      </c>
      <c r="C29" s="39">
        <f>IF(ISERROR(B29*3.6/1000000/'E Balans VL '!Z10*100),0,B29*3.6/1000000/'E Balans VL '!Z10*100)</f>
        <v>0.11449046551502642</v>
      </c>
      <c r="D29" s="238" t="s">
        <v>720</v>
      </c>
      <c r="F29" s="6"/>
    </row>
    <row r="30" spans="1:18">
      <c r="A30" s="232" t="s">
        <v>50</v>
      </c>
      <c r="B30" s="33">
        <f>IF(ISERROR(TER_ander_ele_kWh/1000),0,TER_ander_ele_kWh/1000)</f>
        <v>17144.578000000001</v>
      </c>
      <c r="C30" s="39">
        <f>IF(ISERROR(B30*3.6/1000000/'E Balans VL '!Z14*100),0,B30*3.6/1000000/'E Balans VL '!Z14*100)</f>
        <v>1.3288620227910513</v>
      </c>
      <c r="D30" s="238" t="s">
        <v>720</v>
      </c>
      <c r="F30" s="6"/>
    </row>
    <row r="31" spans="1:18">
      <c r="A31" s="232" t="s">
        <v>55</v>
      </c>
      <c r="B31" s="33">
        <f>IF(ISERROR(TER_onderwijs_ele_kWh/1000),0,TER_onderwijs_ele_kWh/1000)</f>
        <v>534.64599999999996</v>
      </c>
      <c r="C31" s="39">
        <f>IF(ISERROR(B31*3.6/1000000/'E Balans VL '!Z11*100),0,B31*3.6/1000000/'E Balans VL '!Z11*100)</f>
        <v>0.10228688997504917</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3</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122772.24800000002</v>
      </c>
      <c r="C5" s="17">
        <f>IF(ISERROR('Eigen informatie GS &amp; warmtenet'!B59),0,'Eigen informatie GS &amp; warmtenet'!B59)</f>
        <v>0</v>
      </c>
      <c r="D5" s="30">
        <f>SUM(D6:D15)</f>
        <v>234299.87591999996</v>
      </c>
      <c r="E5" s="17">
        <f>SUM(E6:E15)</f>
        <v>1219.9902469184751</v>
      </c>
      <c r="F5" s="17">
        <f>SUM(F6:F15)</f>
        <v>29395.920759222572</v>
      </c>
      <c r="G5" s="18"/>
      <c r="H5" s="17"/>
      <c r="I5" s="17"/>
      <c r="J5" s="17">
        <f>SUM(J6:J15)</f>
        <v>1177.9356438068382</v>
      </c>
      <c r="K5" s="17"/>
      <c r="L5" s="17"/>
      <c r="M5" s="17"/>
      <c r="N5" s="17">
        <f>SUM(N6:N15)</f>
        <v>2390.4935731645087</v>
      </c>
      <c r="O5" s="17">
        <f>B43*B44*B45</f>
        <v>0</v>
      </c>
      <c r="P5" s="17">
        <f>B51*B52*B53/1000-B51*B52*B53/1000/B54</f>
        <v>0</v>
      </c>
      <c r="R5" s="32"/>
    </row>
    <row r="6" spans="1:18">
      <c r="A6" s="6" t="s">
        <v>35</v>
      </c>
      <c r="B6" s="37">
        <f>IF( ISERROR(IND_ijzer_ele_kWh/1000),0,IND_ijzer_ele_kWh/1000)</f>
        <v>2116.5230000000001</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46215.656999999999</v>
      </c>
      <c r="C8" s="33"/>
      <c r="D8" s="37">
        <f>IF( ISERROR(IND_metaal_Gas_kWH/1000),0,IND_metaal_Gas_kWH/1000)*0.902</f>
        <v>22380.120928</v>
      </c>
      <c r="E8" s="33">
        <f>C30*'E Balans VL '!I18/100/3.6*1000000</f>
        <v>324.74722471682253</v>
      </c>
      <c r="F8" s="33">
        <f>C30*'E Balans VL '!L18/100/3.6*1000000+C30*'E Balans VL '!N18/100/3.6*1000000</f>
        <v>5074.2087503926332</v>
      </c>
      <c r="G8" s="34"/>
      <c r="H8" s="33"/>
      <c r="I8" s="33"/>
      <c r="J8" s="40">
        <f>C30*'E Balans VL '!D18/100/3.6*1000000+C30*'E Balans VL '!E18/100/3.6*1000000</f>
        <v>953.52861675685415</v>
      </c>
      <c r="K8" s="33"/>
      <c r="L8" s="33"/>
      <c r="M8" s="33"/>
      <c r="N8" s="33">
        <f>C30*'E Balans VL '!Y18/100/3.6*1000000</f>
        <v>173.219610884047</v>
      </c>
      <c r="O8" s="33"/>
      <c r="P8" s="33"/>
      <c r="R8" s="32"/>
    </row>
    <row r="9" spans="1:18">
      <c r="A9" s="6" t="s">
        <v>33</v>
      </c>
      <c r="B9" s="37">
        <f t="shared" si="0"/>
        <v>19733.014999999999</v>
      </c>
      <c r="C9" s="33"/>
      <c r="D9" s="37">
        <f>IF( ISERROR(IND_andere_gas_kWh/1000),0,IND_andere_gas_kWh/1000)*0.902</f>
        <v>3923.4086539999998</v>
      </c>
      <c r="E9" s="33">
        <f>C31*'E Balans VL '!I19/100/3.6*1000000</f>
        <v>331.44016064019883</v>
      </c>
      <c r="F9" s="33">
        <f>C31*'E Balans VL '!L19/100/3.6*1000000+C31*'E Balans VL '!N19/100/3.6*1000000</f>
        <v>15426.147218385135</v>
      </c>
      <c r="G9" s="34"/>
      <c r="H9" s="33"/>
      <c r="I9" s="33"/>
      <c r="J9" s="40">
        <f>C31*'E Balans VL '!D19/100/3.6*1000000+C31*'E Balans VL '!E19/100/3.6*1000000</f>
        <v>1.7797437620810872</v>
      </c>
      <c r="K9" s="33"/>
      <c r="L9" s="33"/>
      <c r="M9" s="33"/>
      <c r="N9" s="33">
        <f>C31*'E Balans VL '!Y19/100/3.6*1000000</f>
        <v>1462.5329998541015</v>
      </c>
      <c r="O9" s="33"/>
      <c r="P9" s="33"/>
      <c r="R9" s="32"/>
    </row>
    <row r="10" spans="1:18">
      <c r="A10" s="6" t="s">
        <v>41</v>
      </c>
      <c r="B10" s="37">
        <f t="shared" si="0"/>
        <v>49818.991000000002</v>
      </c>
      <c r="C10" s="33"/>
      <c r="D10" s="37">
        <f>IF( ISERROR(IND_voed_gas_kWh/1000),0,IND_voed_gas_kWh/1000)*0.902</f>
        <v>206135.315584</v>
      </c>
      <c r="E10" s="33">
        <f>C32*'E Balans VL '!I20/100/3.6*1000000</f>
        <v>454.52777160328526</v>
      </c>
      <c r="F10" s="33">
        <f>C32*'E Balans VL '!L20/100/3.6*1000000+C32*'E Balans VL '!N20/100/3.6*1000000</f>
        <v>8037.3614951467016</v>
      </c>
      <c r="G10" s="34"/>
      <c r="H10" s="33"/>
      <c r="I10" s="33"/>
      <c r="J10" s="40">
        <f>C32*'E Balans VL '!D20/100/3.6*1000000+C32*'E Balans VL '!E20/100/3.6*1000000</f>
        <v>205.18726784955052</v>
      </c>
      <c r="K10" s="33"/>
      <c r="L10" s="33"/>
      <c r="M10" s="33"/>
      <c r="N10" s="33">
        <f>C32*'E Balans VL '!Y20/100/3.6*1000000</f>
        <v>728.81255495306675</v>
      </c>
      <c r="O10" s="33"/>
      <c r="P10" s="33"/>
      <c r="R10" s="32"/>
    </row>
    <row r="11" spans="1:18">
      <c r="A11" s="6" t="s">
        <v>40</v>
      </c>
      <c r="B11" s="37">
        <f t="shared" si="0"/>
        <v>73.391999999999996</v>
      </c>
      <c r="C11" s="33"/>
      <c r="D11" s="37">
        <f>IF( ISERROR(IND_textiel_gas_kWh/1000),0,IND_textiel_gas_kWh/1000)*0.902</f>
        <v>0</v>
      </c>
      <c r="E11" s="33">
        <f>C33*'E Balans VL '!I21/100/3.6*1000000</f>
        <v>0.16739353836605411</v>
      </c>
      <c r="F11" s="33">
        <f>C33*'E Balans VL '!L21/100/3.6*1000000+C33*'E Balans VL '!N21/100/3.6*1000000</f>
        <v>1.5688220707733316</v>
      </c>
      <c r="G11" s="34"/>
      <c r="H11" s="33"/>
      <c r="I11" s="33"/>
      <c r="J11" s="40">
        <f>C33*'E Balans VL '!D21/100/3.6*1000000+C33*'E Balans VL '!E21/100/3.6*1000000</f>
        <v>0</v>
      </c>
      <c r="K11" s="33"/>
      <c r="L11" s="33"/>
      <c r="M11" s="33"/>
      <c r="N11" s="33">
        <f>C33*'E Balans VL '!Y21/100/3.6*1000000</f>
        <v>0.52063294671861227</v>
      </c>
      <c r="O11" s="33"/>
      <c r="P11" s="33"/>
      <c r="R11" s="32"/>
    </row>
    <row r="12" spans="1:18">
      <c r="A12" s="6" t="s">
        <v>37</v>
      </c>
      <c r="B12" s="37">
        <f t="shared" si="0"/>
        <v>1396.5830000000001</v>
      </c>
      <c r="C12" s="33"/>
      <c r="D12" s="37">
        <f>IF( ISERROR(IND_min_gas_kWh/1000),0,IND_min_gas_kWh/1000)*0.902</f>
        <v>265.78602599999999</v>
      </c>
      <c r="E12" s="33">
        <f>C34*'E Balans VL '!I22/100/3.6*1000000</f>
        <v>34.639798758810272</v>
      </c>
      <c r="F12" s="33">
        <f>C34*'E Balans VL '!L22/100/3.6*1000000+C34*'E Balans VL '!N22/100/3.6*1000000</f>
        <v>148.40031602700228</v>
      </c>
      <c r="G12" s="34"/>
      <c r="H12" s="33"/>
      <c r="I12" s="33"/>
      <c r="J12" s="40">
        <f>C34*'E Balans VL '!D22/100/3.6*1000000+C34*'E Balans VL '!E22/100/3.6*1000000</f>
        <v>7.9334109021165613</v>
      </c>
      <c r="K12" s="33"/>
      <c r="L12" s="33"/>
      <c r="M12" s="33"/>
      <c r="N12" s="33">
        <f>C34*'E Balans VL '!Y22/100/3.6*1000000</f>
        <v>0</v>
      </c>
      <c r="O12" s="33"/>
      <c r="P12" s="33"/>
      <c r="R12" s="32"/>
    </row>
    <row r="13" spans="1:18">
      <c r="A13" s="6" t="s">
        <v>39</v>
      </c>
      <c r="B13" s="37">
        <f t="shared" si="0"/>
        <v>2006.2190000000001</v>
      </c>
      <c r="C13" s="33"/>
      <c r="D13" s="37">
        <f>IF( ISERROR(IND_papier_gas_kWh/1000),0,IND_papier_gas_kWh/1000)*0.902</f>
        <v>189.72126800000001</v>
      </c>
      <c r="E13" s="33">
        <f>C35*'E Balans VL '!I23/100/3.6*1000000</f>
        <v>61.726122864720374</v>
      </c>
      <c r="F13" s="33">
        <f>C35*'E Balans VL '!L23/100/3.6*1000000+C35*'E Balans VL '!N23/100/3.6*1000000</f>
        <v>425.99040691159411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1411.8679999999999</v>
      </c>
      <c r="C15" s="33"/>
      <c r="D15" s="37">
        <f>IF( ISERROR(IND_rest_gas_kWh/1000),0,IND_rest_gas_kWh/1000)*0.902</f>
        <v>1405.5234600000001</v>
      </c>
      <c r="E15" s="33">
        <f>C37*'E Balans VL '!I15/100/3.6*1000000</f>
        <v>12.741774796272102</v>
      </c>
      <c r="F15" s="33">
        <f>C37*'E Balans VL '!L15/100/3.6*1000000+C37*'E Balans VL '!N15/100/3.6*1000000</f>
        <v>282.24375028872879</v>
      </c>
      <c r="G15" s="34"/>
      <c r="H15" s="33"/>
      <c r="I15" s="33"/>
      <c r="J15" s="40">
        <f>C37*'E Balans VL '!D15/100/3.6*1000000+C37*'E Balans VL '!E15/100/3.6*1000000</f>
        <v>9.506604536236031</v>
      </c>
      <c r="K15" s="33"/>
      <c r="L15" s="33"/>
      <c r="M15" s="33"/>
      <c r="N15" s="33">
        <f>C37*'E Balans VL '!Y15/100/3.6*1000000</f>
        <v>25.407774526574904</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122772.24800000002</v>
      </c>
      <c r="C18" s="21">
        <f>C5+C16</f>
        <v>0</v>
      </c>
      <c r="D18" s="21">
        <f>MAX((D5+D16),0)</f>
        <v>234299.87591999996</v>
      </c>
      <c r="E18" s="21">
        <f>MAX((E5+E16),0)</f>
        <v>1219.9902469184751</v>
      </c>
      <c r="F18" s="21">
        <f>MAX((F5+F16),0)</f>
        <v>29395.920759222572</v>
      </c>
      <c r="G18" s="21"/>
      <c r="H18" s="21"/>
      <c r="I18" s="21"/>
      <c r="J18" s="21">
        <f>MAX((J5+J16),0)</f>
        <v>1177.9356438068382</v>
      </c>
      <c r="K18" s="21"/>
      <c r="L18" s="21">
        <f>MAX((L5+L16),0)</f>
        <v>0</v>
      </c>
      <c r="M18" s="21"/>
      <c r="N18" s="21">
        <f>MAX((N5+N16),0)</f>
        <v>2390.4935731645087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0.17425271862149816</v>
      </c>
      <c r="C20" s="25">
        <f ca="1">'EF ele_warmte'!B22</f>
        <v>3.2421154000481509E-4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21393.397985272793</v>
      </c>
      <c r="C22" s="23">
        <f ca="1">C18*C20</f>
        <v>0</v>
      </c>
      <c r="D22" s="23">
        <f>D18*D20</f>
        <v>47328.574935839999</v>
      </c>
      <c r="E22" s="23">
        <f>E18*E20</f>
        <v>276.93778605049386</v>
      </c>
      <c r="F22" s="23">
        <f>F18*F20</f>
        <v>7848.7108427124276</v>
      </c>
      <c r="G22" s="23"/>
      <c r="H22" s="23"/>
      <c r="I22" s="23"/>
      <c r="J22" s="23">
        <f>J18*J20</f>
        <v>416.98921790762074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46215.656999999999</v>
      </c>
      <c r="C30" s="39">
        <f>IF(ISERROR(B30*3.6/1000000/'E Balans VL '!Z18*100),0,B30*3.6/1000000/'E Balans VL '!Z18*100)</f>
        <v>3.0766045081350879</v>
      </c>
      <c r="D30" s="238" t="s">
        <v>720</v>
      </c>
    </row>
    <row r="31" spans="1:18">
      <c r="A31" s="6" t="s">
        <v>33</v>
      </c>
      <c r="B31" s="37">
        <f>IF( ISERROR(IND_ander_ele_kWh/1000),0,IND_ander_ele_kWh/1000)</f>
        <v>19733.014999999999</v>
      </c>
      <c r="C31" s="39">
        <f>IF(ISERROR(B31*3.6/1000000/'E Balans VL '!Z19*100),0,B31*3.6/1000000/'E Balans VL '!Z19*100)</f>
        <v>0.87468635406032957</v>
      </c>
      <c r="D31" s="238" t="s">
        <v>720</v>
      </c>
    </row>
    <row r="32" spans="1:18">
      <c r="A32" s="172" t="s">
        <v>41</v>
      </c>
      <c r="B32" s="37">
        <f>IF( ISERROR(IND_voed_ele_kWh/1000),0,IND_voed_ele_kWh/1000)</f>
        <v>49818.991000000002</v>
      </c>
      <c r="C32" s="39">
        <f>IF(ISERROR(B32*3.6/1000000/'E Balans VL '!Z20*100),0,B32*3.6/1000000/'E Balans VL '!Z20*100)</f>
        <v>1.6640972115887271</v>
      </c>
      <c r="D32" s="238" t="s">
        <v>720</v>
      </c>
    </row>
    <row r="33" spans="1:5">
      <c r="A33" s="172" t="s">
        <v>40</v>
      </c>
      <c r="B33" s="37">
        <f>IF( ISERROR(IND_textiel_ele_kWh/1000),0,IND_textiel_ele_kWh/1000)</f>
        <v>73.391999999999996</v>
      </c>
      <c r="C33" s="39">
        <f>IF(ISERROR(B33*3.6/1000000/'E Balans VL '!Z21*100),0,B33*3.6/1000000/'E Balans VL '!Z21*100)</f>
        <v>9.6622260448860943E-3</v>
      </c>
      <c r="D33" s="238" t="s">
        <v>720</v>
      </c>
    </row>
    <row r="34" spans="1:5">
      <c r="A34" s="172" t="s">
        <v>37</v>
      </c>
      <c r="B34" s="37">
        <f>IF( ISERROR(IND_min_ele_kWh/1000),0,IND_min_ele_kWh/1000)</f>
        <v>1396.5830000000001</v>
      </c>
      <c r="C34" s="39">
        <f>IF(ISERROR(B34*3.6/1000000/'E Balans VL '!Z22*100),0,B34*3.6/1000000/'E Balans VL '!Z22*100)</f>
        <v>0.27162005290775704</v>
      </c>
      <c r="D34" s="238" t="s">
        <v>720</v>
      </c>
    </row>
    <row r="35" spans="1:5">
      <c r="A35" s="172" t="s">
        <v>39</v>
      </c>
      <c r="B35" s="37">
        <f>IF( ISERROR(IND_papier_ele_kWh/1000),0,IND_papier_ele_kWh/1000)</f>
        <v>2006.2190000000001</v>
      </c>
      <c r="C35" s="39">
        <f>IF(ISERROR(B35*3.6/1000000/'E Balans VL '!Z22*100),0,B35*3.6/1000000/'E Balans VL '!Z22*100)</f>
        <v>0.39018755843694747</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1411.8679999999999</v>
      </c>
      <c r="C37" s="39">
        <f>IF(ISERROR(B37*3.6/1000000/'E Balans VL '!Z15*100),0,B37*3.6/1000000/'E Balans VL '!Z15*100)</f>
        <v>1.050199779027664E-2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780.33299999999997</v>
      </c>
      <c r="C5" s="17">
        <f>'Eigen informatie GS &amp; warmtenet'!B60</f>
        <v>0</v>
      </c>
      <c r="D5" s="30">
        <f>IF(ISERROR(SUM(LB_lb_gas_kWh,LB_rest_gas_kWh,onbekend_gas_kWh)/1000),0,SUM(LB_lb_gas_kWh,LB_rest_gas_kWh,onbekend_gas_kWh)/1000)*0.902</f>
        <v>447.68695400000001</v>
      </c>
      <c r="E5" s="17">
        <f>B17*'E Balans VL '!I25/3.6*1000000/100</f>
        <v>8.1718161112053629</v>
      </c>
      <c r="F5" s="17">
        <f>B17*('E Balans VL '!L25/3.6*1000000+'E Balans VL '!N25/3.6*1000000)/100</f>
        <v>4007.9145359503336</v>
      </c>
      <c r="G5" s="18"/>
      <c r="H5" s="17"/>
      <c r="I5" s="17"/>
      <c r="J5" s="17">
        <f>('E Balans VL '!D25+'E Balans VL '!E25)/3.6*1000000*landbouw!B17/100</f>
        <v>69.690731143998434</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780.33299999999997</v>
      </c>
      <c r="C8" s="21">
        <f>C5+C6</f>
        <v>0</v>
      </c>
      <c r="D8" s="21">
        <f>MAX((D5+D6),0)</f>
        <v>447.68695400000001</v>
      </c>
      <c r="E8" s="21">
        <f>MAX((E5+E6),0)</f>
        <v>8.1718161112053629</v>
      </c>
      <c r="F8" s="21">
        <f>MAX((F5+F6),0)</f>
        <v>4007.9145359503336</v>
      </c>
      <c r="G8" s="21"/>
      <c r="H8" s="21"/>
      <c r="I8" s="21"/>
      <c r="J8" s="21">
        <f>MAX((J5+J6),0)</f>
        <v>69.690731143998434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0.17425271862149816</v>
      </c>
      <c r="C10" s="31">
        <f ca="1">'EF ele_warmte'!B22</f>
        <v>3.2421154000481509E-4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135.97514668006951</v>
      </c>
      <c r="C12" s="23">
        <f ca="1">C8*C10</f>
        <v>0</v>
      </c>
      <c r="D12" s="23">
        <f>D8*D10</f>
        <v>90.432764708000008</v>
      </c>
      <c r="E12" s="23">
        <f>E8*E10</f>
        <v>1.8550022572436173</v>
      </c>
      <c r="F12" s="23">
        <f>F8*F10</f>
        <v>1070.1131810987392</v>
      </c>
      <c r="G12" s="23"/>
      <c r="H12" s="23"/>
      <c r="I12" s="23"/>
      <c r="J12" s="23">
        <f>J8*J10</f>
        <v>24.670518824975446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0.12010831191055779</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134.30283931584569</v>
      </c>
      <c r="C26" s="248">
        <f>B26*'GWP N2O_CH4'!B5</f>
        <v>2820.3596256327596</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46.527542767563297</v>
      </c>
      <c r="C27" s="248">
        <f>B27*'GWP N2O_CH4'!B5</f>
        <v>977.07839811882923</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1.7140557159938614</v>
      </c>
      <c r="C28" s="248">
        <f>B28*'GWP N2O_CH4'!B4</f>
        <v>531.35727195809704</v>
      </c>
      <c r="D28" s="50"/>
    </row>
    <row r="29" spans="1:4">
      <c r="A29" s="41" t="s">
        <v>278</v>
      </c>
      <c r="B29" s="248">
        <f>B34*'ha_N2O bodem landbouw'!B4</f>
        <v>17.301350929450386</v>
      </c>
      <c r="C29" s="248">
        <f>B29*'GWP N2O_CH4'!B4</f>
        <v>5363.4187881296193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2.8592754717878871E-3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5.3908783898415372E-6</v>
      </c>
      <c r="C5" s="446" t="s">
        <v>212</v>
      </c>
      <c r="D5" s="431">
        <f>SUM(D6:D11)</f>
        <v>2.7182022862520415E-5</v>
      </c>
      <c r="E5" s="431">
        <f>SUM(E6:E11)</f>
        <v>2.7475589665089247E-3</v>
      </c>
      <c r="F5" s="444" t="s">
        <v>212</v>
      </c>
      <c r="G5" s="431">
        <f>SUM(G6:G11)</f>
        <v>0.41575650353256766</v>
      </c>
      <c r="H5" s="431">
        <f>SUM(H6:H11)</f>
        <v>9.0250783951979704E-2</v>
      </c>
      <c r="I5" s="446" t="s">
        <v>212</v>
      </c>
      <c r="J5" s="446" t="s">
        <v>212</v>
      </c>
      <c r="K5" s="446" t="s">
        <v>212</v>
      </c>
      <c r="L5" s="446" t="s">
        <v>212</v>
      </c>
      <c r="M5" s="431">
        <f>SUM(M6:M11)</f>
        <v>2.21287850715868E-2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4.2390717454897529E-6</v>
      </c>
      <c r="C6" s="432"/>
      <c r="D6" s="432">
        <f>vkm_2011_GW_PW*SUMIFS(TableVerdeelsleutelVkm[CNG],TableVerdeelsleutelVkm[Voertuigtype],"Lichte voertuigen")*SUMIFS(TableECFTransport[EnergieConsumptieFactor (PJ per km)],TableECFTransport[Index],CONCATENATE($A6,"_CNG_CNG"))</f>
        <v>1.8274145545650678E-5</v>
      </c>
      <c r="E6" s="434">
        <f>vkm_2011_GW_PW*SUMIFS(TableVerdeelsleutelVkm[LPG],TableVerdeelsleutelVkm[Voertuigtype],"Lichte voertuigen")*SUMIFS(TableECFTransport[EnergieConsumptieFactor (PJ per km)],TableECFTransport[Index],CONCATENATE($A6,"_LPG_LPG"))</f>
        <v>1.9013127162212362E-3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0.23386668372886862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6.1572251401830022E-2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1.2947550525961308E-2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7.6924135679105818E-2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2.6376220136827278E-5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3.3229785305009356E-3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1.1518066443517845E-6</v>
      </c>
      <c r="C8" s="432"/>
      <c r="D8" s="434">
        <f>vkm_2011_NGW_PW*SUMIFS(TableVerdeelsleutelVkm[CNG],TableVerdeelsleutelVkm[Voertuigtype],"Lichte voertuigen")*SUMIFS(TableECFTransport[EnergieConsumptieFactor (PJ per km)],TableECFTransport[Index],CONCATENATE($A8,"_CNG_CNG"))</f>
        <v>8.9078773168697387E-6</v>
      </c>
      <c r="E8" s="434">
        <f>vkm_2011_NGW_PW*SUMIFS(TableVerdeelsleutelVkm[LPG],TableVerdeelsleutelVkm[Voertuigtype],"Lichte voertuigen")*SUMIFS(TableECFTransport[EnergieConsumptieFactor (PJ per km)],TableECFTransport[Index],CONCATENATE($A8,"_LPG_LPG"))</f>
        <v>8.462462502876883E-4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9.8727575352086636E-2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2.865029816129137E-2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5.5887943952794708E-3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6.2381087725065596E-3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1.8581687214818622E-6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2.6946161984508712E-4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1.4974662194004269</v>
      </c>
      <c r="C14" s="21"/>
      <c r="D14" s="21">
        <f t="shared" ref="D14:M14" si="0">((D5)*10^9/3600)+D12</f>
        <v>7.5505619062556706</v>
      </c>
      <c r="E14" s="21">
        <f t="shared" si="0"/>
        <v>763.21082403025696</v>
      </c>
      <c r="F14" s="21"/>
      <c r="G14" s="21">
        <f t="shared" si="0"/>
        <v>115487.91764793546</v>
      </c>
      <c r="H14" s="21">
        <f t="shared" si="0"/>
        <v>25069.662208883252</v>
      </c>
      <c r="I14" s="21"/>
      <c r="J14" s="21"/>
      <c r="K14" s="21"/>
      <c r="L14" s="21"/>
      <c r="M14" s="21">
        <f t="shared" si="0"/>
        <v>6146.8847421074443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0.17425271862149816</v>
      </c>
      <c r="C16" s="56">
        <f ca="1">'EF ele_warmte'!B22</f>
        <v>3.2421154000481509E-4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0.26093755977438121</v>
      </c>
      <c r="C18" s="23"/>
      <c r="D18" s="23">
        <f t="shared" ref="D18:M18" si="1">D14*D16</f>
        <v>1.5252135050636455</v>
      </c>
      <c r="E18" s="23">
        <f t="shared" si="1"/>
        <v>173.24885705486832</v>
      </c>
      <c r="F18" s="23"/>
      <c r="G18" s="23">
        <f t="shared" si="1"/>
        <v>30835.274011998772</v>
      </c>
      <c r="H18" s="23">
        <f t="shared" si="1"/>
        <v>6242.3458900119294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9.1549463681866346E-3</v>
      </c>
      <c r="H50" s="322">
        <f t="shared" si="2"/>
        <v>0</v>
      </c>
      <c r="I50" s="322">
        <f t="shared" si="2"/>
        <v>0</v>
      </c>
      <c r="J50" s="322">
        <f t="shared" si="2"/>
        <v>0</v>
      </c>
      <c r="K50" s="322">
        <f t="shared" si="2"/>
        <v>0</v>
      </c>
      <c r="L50" s="322">
        <f t="shared" si="2"/>
        <v>0</v>
      </c>
      <c r="M50" s="322">
        <f t="shared" si="2"/>
        <v>3.9023559022582937E-4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9.1549463681866346E-3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3.9023559022582937E-4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2543.0406578296206</v>
      </c>
      <c r="H54" s="21">
        <f t="shared" si="3"/>
        <v>0</v>
      </c>
      <c r="I54" s="21">
        <f t="shared" si="3"/>
        <v>0</v>
      </c>
      <c r="J54" s="21">
        <f t="shared" si="3"/>
        <v>0</v>
      </c>
      <c r="K54" s="21">
        <f t="shared" si="3"/>
        <v>0</v>
      </c>
      <c r="L54" s="21">
        <f t="shared" si="3"/>
        <v>0</v>
      </c>
      <c r="M54" s="21">
        <f t="shared" si="3"/>
        <v>108.39877506273039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0.17425271862149816</v>
      </c>
      <c r="C56" s="56">
        <f ca="1">'EF ele_warmte'!B22</f>
        <v>3.2421154000481509E-4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678.99185564050879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26429.898546116718</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11392.476467915265</v>
      </c>
      <c r="C6" s="1124"/>
      <c r="D6" s="1127"/>
      <c r="E6" s="1127"/>
      <c r="F6" s="1130"/>
      <c r="G6" s="1133"/>
      <c r="H6" s="1121"/>
      <c r="I6" s="1127"/>
      <c r="J6" s="1127"/>
      <c r="K6" s="1127"/>
      <c r="L6" s="1157"/>
      <c r="M6" s="559"/>
      <c r="N6" s="1169"/>
      <c r="O6" s="1170"/>
      <c r="Q6" s="557"/>
      <c r="R6" s="1154"/>
      <c r="S6" s="1154"/>
    </row>
    <row r="7" spans="1:19" s="547" customFormat="1">
      <c r="A7" s="560" t="s">
        <v>253</v>
      </c>
      <c r="B7" s="561">
        <f>N57</f>
        <v>18141.75</v>
      </c>
      <c r="C7" s="562">
        <f>B100</f>
        <v>29.117647058823536</v>
      </c>
      <c r="D7" s="563"/>
      <c r="E7" s="563">
        <f>E100</f>
        <v>0</v>
      </c>
      <c r="F7" s="564"/>
      <c r="G7" s="565"/>
      <c r="H7" s="563">
        <f>I100</f>
        <v>0</v>
      </c>
      <c r="I7" s="563">
        <f>G100+F100</f>
        <v>0</v>
      </c>
      <c r="J7" s="563">
        <f>H100+D100+C100</f>
        <v>21314.117647058825</v>
      </c>
      <c r="K7" s="563"/>
      <c r="L7" s="566"/>
      <c r="M7" s="567">
        <f>C7*$C$11+D7*$D$11+E7*$E$11+F7*$F$11+G7*$G$11+H7*$H$11+I7*$I$11+J7*$J$11</f>
        <v>5.8817647058823548</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55964.125014031983</v>
      </c>
      <c r="C9" s="578">
        <f t="shared" ref="C9:L9" si="0">SUM(C7:C8)</f>
        <v>29.117647058823536</v>
      </c>
      <c r="D9" s="578">
        <f t="shared" si="0"/>
        <v>0</v>
      </c>
      <c r="E9" s="578">
        <f t="shared" si="0"/>
        <v>0</v>
      </c>
      <c r="F9" s="578">
        <f t="shared" si="0"/>
        <v>0</v>
      </c>
      <c r="G9" s="578">
        <f t="shared" si="0"/>
        <v>0</v>
      </c>
      <c r="H9" s="578">
        <f t="shared" si="0"/>
        <v>0</v>
      </c>
      <c r="I9" s="578">
        <f t="shared" si="0"/>
        <v>0</v>
      </c>
      <c r="J9" s="578">
        <f t="shared" si="0"/>
        <v>21314.117647058825</v>
      </c>
      <c r="K9" s="578">
        <f t="shared" si="0"/>
        <v>0</v>
      </c>
      <c r="L9" s="578">
        <f t="shared" si="0"/>
        <v>0</v>
      </c>
      <c r="M9" s="579">
        <f>SUM(M4:M8)</f>
        <v>5.8817647058823548</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25916.785714285714</v>
      </c>
      <c r="C16" s="594">
        <f>B101</f>
        <v>41.596638655462193</v>
      </c>
      <c r="D16" s="595"/>
      <c r="E16" s="595">
        <f>E101</f>
        <v>0</v>
      </c>
      <c r="F16" s="596"/>
      <c r="G16" s="597"/>
      <c r="H16" s="594">
        <f>I101</f>
        <v>0</v>
      </c>
      <c r="I16" s="595">
        <f>G101+F101</f>
        <v>0</v>
      </c>
      <c r="J16" s="595">
        <f>H101+D101+C101</f>
        <v>30448.739495798323</v>
      </c>
      <c r="K16" s="595"/>
      <c r="L16" s="598"/>
      <c r="M16" s="599">
        <f>C16*$C$21+E16*$E$21+H16*$H$21+I16*$I$21+J16*$J$21+D16*$D$21+F16*$F$21+G16*$G$21+K16*$K$21+L16*$L$21</f>
        <v>8.4025210084033635</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25916.785714285714</v>
      </c>
      <c r="C19" s="577">
        <f>SUM(C16:C18)</f>
        <v>41.596638655462193</v>
      </c>
      <c r="D19" s="577">
        <f t="shared" ref="D19:M19" si="1">SUM(D16:D18)</f>
        <v>0</v>
      </c>
      <c r="E19" s="577">
        <f t="shared" si="1"/>
        <v>0</v>
      </c>
      <c r="F19" s="577">
        <f t="shared" si="1"/>
        <v>0</v>
      </c>
      <c r="G19" s="577">
        <f t="shared" si="1"/>
        <v>0</v>
      </c>
      <c r="H19" s="577">
        <f t="shared" si="1"/>
        <v>0</v>
      </c>
      <c r="I19" s="577">
        <f t="shared" si="1"/>
        <v>0</v>
      </c>
      <c r="J19" s="577">
        <f t="shared" si="1"/>
        <v>30448.739495798323</v>
      </c>
      <c r="K19" s="577">
        <f t="shared" si="1"/>
        <v>0</v>
      </c>
      <c r="L19" s="577">
        <f t="shared" si="1"/>
        <v>0</v>
      </c>
      <c r="M19" s="604">
        <f t="shared" si="1"/>
        <v>8.4025210084033635</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63.75">
      <c r="A27" s="608"/>
      <c r="B27" s="839">
        <v>72020</v>
      </c>
      <c r="C27" s="839">
        <v>3920</v>
      </c>
      <c r="D27" s="656" t="s">
        <v>894</v>
      </c>
      <c r="E27" s="655" t="s">
        <v>895</v>
      </c>
      <c r="F27" s="655" t="s">
        <v>896</v>
      </c>
      <c r="G27" s="655" t="s">
        <v>897</v>
      </c>
      <c r="H27" s="655" t="s">
        <v>898</v>
      </c>
      <c r="I27" s="655" t="s">
        <v>895</v>
      </c>
      <c r="J27" s="838">
        <v>37630</v>
      </c>
      <c r="K27" s="838">
        <v>38657</v>
      </c>
      <c r="L27" s="655" t="s">
        <v>899</v>
      </c>
      <c r="M27" s="655">
        <v>5.5</v>
      </c>
      <c r="N27" s="655">
        <v>24.75</v>
      </c>
      <c r="O27" s="655">
        <v>35.357142857142861</v>
      </c>
      <c r="P27" s="655">
        <v>70.714285714285722</v>
      </c>
      <c r="Q27" s="655">
        <v>0</v>
      </c>
      <c r="R27" s="655">
        <v>0</v>
      </c>
      <c r="S27" s="655">
        <v>0</v>
      </c>
      <c r="T27" s="655">
        <v>0</v>
      </c>
      <c r="U27" s="655">
        <v>0</v>
      </c>
      <c r="V27" s="655">
        <v>0</v>
      </c>
      <c r="W27" s="655">
        <v>0</v>
      </c>
      <c r="X27" s="655">
        <v>1600</v>
      </c>
      <c r="Y27" s="655" t="s">
        <v>50</v>
      </c>
      <c r="Z27" s="657" t="s">
        <v>156</v>
      </c>
    </row>
    <row r="28" spans="1:26" s="609" customFormat="1" ht="63.75">
      <c r="A28" s="608"/>
      <c r="B28" s="839">
        <v>72020</v>
      </c>
      <c r="C28" s="839">
        <v>3920</v>
      </c>
      <c r="D28" s="656" t="s">
        <v>900</v>
      </c>
      <c r="E28" s="655" t="s">
        <v>901</v>
      </c>
      <c r="F28" s="655" t="s">
        <v>902</v>
      </c>
      <c r="G28" s="655" t="s">
        <v>897</v>
      </c>
      <c r="H28" s="655" t="s">
        <v>898</v>
      </c>
      <c r="I28" s="655" t="s">
        <v>903</v>
      </c>
      <c r="J28" s="838">
        <v>39873</v>
      </c>
      <c r="K28" s="838">
        <v>39873</v>
      </c>
      <c r="L28" s="655" t="s">
        <v>899</v>
      </c>
      <c r="M28" s="655">
        <v>4026</v>
      </c>
      <c r="N28" s="655">
        <v>18117</v>
      </c>
      <c r="O28" s="655">
        <v>25881.428571428572</v>
      </c>
      <c r="P28" s="655">
        <v>0</v>
      </c>
      <c r="Q28" s="655">
        <v>51762.857142857145</v>
      </c>
      <c r="R28" s="655">
        <v>0</v>
      </c>
      <c r="S28" s="655">
        <v>0</v>
      </c>
      <c r="T28" s="655">
        <v>0</v>
      </c>
      <c r="U28" s="655">
        <v>0</v>
      </c>
      <c r="V28" s="655">
        <v>0</v>
      </c>
      <c r="W28" s="655">
        <v>0</v>
      </c>
      <c r="X28" s="655">
        <v>1600</v>
      </c>
      <c r="Y28" s="655" t="s">
        <v>50</v>
      </c>
      <c r="Z28" s="657" t="s">
        <v>156</v>
      </c>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4031.5</v>
      </c>
      <c r="N57" s="613">
        <f>SUM(N27:N56)</f>
        <v>18141.75</v>
      </c>
      <c r="O57" s="613">
        <f t="shared" ref="O57:W57" si="2">SUM(O27:O56)</f>
        <v>25916.785714285714</v>
      </c>
      <c r="P57" s="613">
        <f t="shared" si="2"/>
        <v>70.714285714285722</v>
      </c>
      <c r="Q57" s="613">
        <f t="shared" si="2"/>
        <v>51762.857142857145</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4031.5</v>
      </c>
      <c r="N59" s="613">
        <f ca="1">SUMIF($Z$27:AB56,"tertiair",N27:N56)</f>
        <v>18141.75</v>
      </c>
      <c r="O59" s="613">
        <f ca="1">SUMIF($Z$27:AC56,"tertiair",O27:O56)</f>
        <v>25916.785714285714</v>
      </c>
      <c r="P59" s="613">
        <f ca="1">SUMIF($Z$27:AD56,"tertiair",P27:P56)</f>
        <v>70.714285714285722</v>
      </c>
      <c r="Q59" s="613">
        <f ca="1">SUMIF($Z$27:AE56,"tertiair",Q27:Q56)</f>
        <v>51762.857142857145</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0.41176470588235298</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29.117647058823536</v>
      </c>
      <c r="C100" s="647">
        <f t="shared" si="9"/>
        <v>21314.117647058825</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41.596638655462193</v>
      </c>
      <c r="C101" s="650">
        <f t="shared" ref="C101:H101" si="10">$B$97*Q57</f>
        <v>30448.739495798323</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75990.700000000012</v>
      </c>
      <c r="D10" s="702">
        <f ca="1">tertiair!C16</f>
        <v>25916.785714285714</v>
      </c>
      <c r="E10" s="702">
        <f ca="1">tertiair!D16</f>
        <v>67625.631376285703</v>
      </c>
      <c r="F10" s="702">
        <f>tertiair!E16</f>
        <v>1022.4775979362454</v>
      </c>
      <c r="G10" s="702">
        <f ca="1">tertiair!F16</f>
        <v>10960.03572068569</v>
      </c>
      <c r="H10" s="702">
        <f>tertiair!G16</f>
        <v>0</v>
      </c>
      <c r="I10" s="702">
        <f>tertiair!H16</f>
        <v>0</v>
      </c>
      <c r="J10" s="702">
        <f>tertiair!I16</f>
        <v>0</v>
      </c>
      <c r="K10" s="702">
        <f>tertiair!J16</f>
        <v>0</v>
      </c>
      <c r="L10" s="702">
        <f>tertiair!K16</f>
        <v>0</v>
      </c>
      <c r="M10" s="702">
        <f ca="1">tertiair!L16</f>
        <v>0</v>
      </c>
      <c r="N10" s="702">
        <f>tertiair!M16</f>
        <v>0</v>
      </c>
      <c r="O10" s="702">
        <f ca="1">tertiair!N16</f>
        <v>0</v>
      </c>
      <c r="P10" s="702">
        <f>tertiair!O16</f>
        <v>1.5633333333333335</v>
      </c>
      <c r="Q10" s="703">
        <f>tertiair!P16</f>
        <v>57.2</v>
      </c>
      <c r="R10" s="705">
        <f ca="1">SUM(C10:Q10)</f>
        <v>181574.39374252671</v>
      </c>
      <c r="S10" s="67"/>
    </row>
    <row r="11" spans="1:19" s="457" customFormat="1">
      <c r="A11" s="858" t="s">
        <v>226</v>
      </c>
      <c r="B11" s="863"/>
      <c r="C11" s="702">
        <f>huishoudens!B8</f>
        <v>64902.468493478824</v>
      </c>
      <c r="D11" s="702">
        <f>huishoudens!C8</f>
        <v>0</v>
      </c>
      <c r="E11" s="702">
        <f>huishoudens!D8</f>
        <v>120384.41254400001</v>
      </c>
      <c r="F11" s="702">
        <f>huishoudens!E8</f>
        <v>8286.20233590526</v>
      </c>
      <c r="G11" s="702">
        <f>huishoudens!F8</f>
        <v>77948.998884583663</v>
      </c>
      <c r="H11" s="702">
        <f>huishoudens!G8</f>
        <v>0</v>
      </c>
      <c r="I11" s="702">
        <f>huishoudens!H8</f>
        <v>0</v>
      </c>
      <c r="J11" s="702">
        <f>huishoudens!I8</f>
        <v>0</v>
      </c>
      <c r="K11" s="702">
        <f>huishoudens!J8</f>
        <v>0</v>
      </c>
      <c r="L11" s="702">
        <f>huishoudens!K8</f>
        <v>0</v>
      </c>
      <c r="M11" s="702">
        <f>huishoudens!L8</f>
        <v>0</v>
      </c>
      <c r="N11" s="702">
        <f>huishoudens!M8</f>
        <v>0</v>
      </c>
      <c r="O11" s="702">
        <f>huishoudens!N8</f>
        <v>26154.353882529471</v>
      </c>
      <c r="P11" s="702">
        <f>huishoudens!O8</f>
        <v>220.43000000000004</v>
      </c>
      <c r="Q11" s="703">
        <f>huishoudens!P8</f>
        <v>552.93333333333339</v>
      </c>
      <c r="R11" s="705">
        <f>SUM(C11:Q11)</f>
        <v>298449.79947383056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122772.24800000002</v>
      </c>
      <c r="D13" s="702">
        <f>industrie!C18</f>
        <v>0</v>
      </c>
      <c r="E13" s="702">
        <f>industrie!D18</f>
        <v>234299.87591999996</v>
      </c>
      <c r="F13" s="702">
        <f>industrie!E18</f>
        <v>1219.9902469184751</v>
      </c>
      <c r="G13" s="702">
        <f>industrie!F18</f>
        <v>29395.920759222572</v>
      </c>
      <c r="H13" s="702">
        <f>industrie!G18</f>
        <v>0</v>
      </c>
      <c r="I13" s="702">
        <f>industrie!H18</f>
        <v>0</v>
      </c>
      <c r="J13" s="702">
        <f>industrie!I18</f>
        <v>0</v>
      </c>
      <c r="K13" s="702">
        <f>industrie!J18</f>
        <v>1177.9356438068382</v>
      </c>
      <c r="L13" s="702">
        <f>industrie!K18</f>
        <v>0</v>
      </c>
      <c r="M13" s="702">
        <f>industrie!L18</f>
        <v>0</v>
      </c>
      <c r="N13" s="702">
        <f>industrie!M18</f>
        <v>0</v>
      </c>
      <c r="O13" s="702">
        <f>industrie!N18</f>
        <v>2390.4935731645087</v>
      </c>
      <c r="P13" s="702">
        <f>industrie!O18</f>
        <v>0</v>
      </c>
      <c r="Q13" s="703">
        <f>industrie!P18</f>
        <v>0</v>
      </c>
      <c r="R13" s="705">
        <f>SUM(C13:Q13)</f>
        <v>391256.46414311236</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263665.41649347887</v>
      </c>
      <c r="D15" s="707">
        <f t="shared" ref="D15:Q15" ca="1" si="0">SUM(D9:D14)</f>
        <v>25916.785714285714</v>
      </c>
      <c r="E15" s="707">
        <f t="shared" ca="1" si="0"/>
        <v>422309.91984028567</v>
      </c>
      <c r="F15" s="707">
        <f t="shared" si="0"/>
        <v>10528.67018075998</v>
      </c>
      <c r="G15" s="707">
        <f t="shared" ca="1" si="0"/>
        <v>118304.95536449192</v>
      </c>
      <c r="H15" s="707">
        <f t="shared" si="0"/>
        <v>0</v>
      </c>
      <c r="I15" s="707">
        <f t="shared" si="0"/>
        <v>0</v>
      </c>
      <c r="J15" s="707">
        <f t="shared" si="0"/>
        <v>0</v>
      </c>
      <c r="K15" s="707">
        <f t="shared" si="0"/>
        <v>1177.9356438068382</v>
      </c>
      <c r="L15" s="707">
        <f t="shared" si="0"/>
        <v>0</v>
      </c>
      <c r="M15" s="707">
        <f t="shared" ca="1" si="0"/>
        <v>0</v>
      </c>
      <c r="N15" s="707">
        <f t="shared" si="0"/>
        <v>0</v>
      </c>
      <c r="O15" s="707">
        <f t="shared" ca="1" si="0"/>
        <v>28544.84745569398</v>
      </c>
      <c r="P15" s="707">
        <f t="shared" si="0"/>
        <v>221.99333333333337</v>
      </c>
      <c r="Q15" s="708">
        <f t="shared" si="0"/>
        <v>610.13333333333344</v>
      </c>
      <c r="R15" s="709">
        <f ca="1">SUM(R9:R14)</f>
        <v>871280.65735946968</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2543.0406578296206</v>
      </c>
      <c r="I18" s="702">
        <f>transport!H54</f>
        <v>0</v>
      </c>
      <c r="J18" s="702">
        <f>transport!I54</f>
        <v>0</v>
      </c>
      <c r="K18" s="702">
        <f>transport!J54</f>
        <v>0</v>
      </c>
      <c r="L18" s="702">
        <f>transport!K54</f>
        <v>0</v>
      </c>
      <c r="M18" s="702">
        <f>transport!L54</f>
        <v>0</v>
      </c>
      <c r="N18" s="702">
        <f>transport!M54</f>
        <v>108.39877506273039</v>
      </c>
      <c r="O18" s="702">
        <f>transport!N54</f>
        <v>0</v>
      </c>
      <c r="P18" s="702">
        <f>transport!O54</f>
        <v>0</v>
      </c>
      <c r="Q18" s="703">
        <f>transport!P54</f>
        <v>0</v>
      </c>
      <c r="R18" s="705">
        <f>SUM(C18:Q18)</f>
        <v>2651.4394328923509</v>
      </c>
      <c r="S18" s="67"/>
    </row>
    <row r="19" spans="1:19" s="457" customFormat="1" ht="15" thickBot="1">
      <c r="A19" s="858" t="s">
        <v>308</v>
      </c>
      <c r="B19" s="863"/>
      <c r="C19" s="711">
        <f>transport!B14</f>
        <v>1.4974662194004269</v>
      </c>
      <c r="D19" s="711">
        <f>transport!C14</f>
        <v>0</v>
      </c>
      <c r="E19" s="711">
        <f>transport!D14</f>
        <v>7.5505619062556706</v>
      </c>
      <c r="F19" s="711">
        <f>transport!E14</f>
        <v>763.21082403025696</v>
      </c>
      <c r="G19" s="711">
        <f>transport!F14</f>
        <v>0</v>
      </c>
      <c r="H19" s="711">
        <f>transport!G14</f>
        <v>115487.91764793546</v>
      </c>
      <c r="I19" s="711">
        <f>transport!H14</f>
        <v>25069.662208883252</v>
      </c>
      <c r="J19" s="711">
        <f>transport!I14</f>
        <v>0</v>
      </c>
      <c r="K19" s="711">
        <f>transport!J14</f>
        <v>0</v>
      </c>
      <c r="L19" s="711">
        <f>transport!K14</f>
        <v>0</v>
      </c>
      <c r="M19" s="711">
        <f>transport!L14</f>
        <v>0</v>
      </c>
      <c r="N19" s="711">
        <f>transport!M14</f>
        <v>6146.8847421074443</v>
      </c>
      <c r="O19" s="711">
        <f>transport!N14</f>
        <v>0</v>
      </c>
      <c r="P19" s="711">
        <f>transport!O14</f>
        <v>0</v>
      </c>
      <c r="Q19" s="712">
        <f>transport!P14</f>
        <v>0</v>
      </c>
      <c r="R19" s="713">
        <f>SUM(C19:Q19)</f>
        <v>147476.72345108207</v>
      </c>
      <c r="S19" s="67"/>
    </row>
    <row r="20" spans="1:19" s="457" customFormat="1" ht="15.75" thickBot="1">
      <c r="A20" s="714" t="s">
        <v>231</v>
      </c>
      <c r="B20" s="866"/>
      <c r="C20" s="861">
        <f>SUM(C17:C19)</f>
        <v>1.4974662194004269</v>
      </c>
      <c r="D20" s="715">
        <f t="shared" ref="D20:R20" si="1">SUM(D17:D19)</f>
        <v>0</v>
      </c>
      <c r="E20" s="715">
        <f t="shared" si="1"/>
        <v>7.5505619062556706</v>
      </c>
      <c r="F20" s="715">
        <f t="shared" si="1"/>
        <v>763.21082403025696</v>
      </c>
      <c r="G20" s="715">
        <f t="shared" si="1"/>
        <v>0</v>
      </c>
      <c r="H20" s="715">
        <f t="shared" si="1"/>
        <v>118030.95830576509</v>
      </c>
      <c r="I20" s="715">
        <f t="shared" si="1"/>
        <v>25069.662208883252</v>
      </c>
      <c r="J20" s="715">
        <f t="shared" si="1"/>
        <v>0</v>
      </c>
      <c r="K20" s="715">
        <f t="shared" si="1"/>
        <v>0</v>
      </c>
      <c r="L20" s="715">
        <f t="shared" si="1"/>
        <v>0</v>
      </c>
      <c r="M20" s="715">
        <f t="shared" si="1"/>
        <v>0</v>
      </c>
      <c r="N20" s="715">
        <f t="shared" si="1"/>
        <v>6255.2835171701745</v>
      </c>
      <c r="O20" s="715">
        <f t="shared" si="1"/>
        <v>0</v>
      </c>
      <c r="P20" s="715">
        <f t="shared" si="1"/>
        <v>0</v>
      </c>
      <c r="Q20" s="716">
        <f t="shared" si="1"/>
        <v>0</v>
      </c>
      <c r="R20" s="717">
        <f t="shared" si="1"/>
        <v>150128.16288397441</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780.33299999999997</v>
      </c>
      <c r="D22" s="711">
        <f>+landbouw!C8</f>
        <v>0</v>
      </c>
      <c r="E22" s="711">
        <f>+landbouw!D8</f>
        <v>447.68695400000001</v>
      </c>
      <c r="F22" s="711">
        <f>+landbouw!E8</f>
        <v>8.1718161112053629</v>
      </c>
      <c r="G22" s="711">
        <f>+landbouw!F8</f>
        <v>4007.9145359503336</v>
      </c>
      <c r="H22" s="711">
        <f>+landbouw!G8</f>
        <v>0</v>
      </c>
      <c r="I22" s="711">
        <f>+landbouw!H8</f>
        <v>0</v>
      </c>
      <c r="J22" s="711">
        <f>+landbouw!I8</f>
        <v>0</v>
      </c>
      <c r="K22" s="711">
        <f>+landbouw!J8</f>
        <v>69.690731143998434</v>
      </c>
      <c r="L22" s="711">
        <f>+landbouw!K8</f>
        <v>0</v>
      </c>
      <c r="M22" s="711">
        <f>+landbouw!L8</f>
        <v>0</v>
      </c>
      <c r="N22" s="711">
        <f>+landbouw!M8</f>
        <v>0</v>
      </c>
      <c r="O22" s="711">
        <f>+landbouw!N8</f>
        <v>0</v>
      </c>
      <c r="P22" s="711">
        <f>+landbouw!O8</f>
        <v>0</v>
      </c>
      <c r="Q22" s="712">
        <f>+landbouw!P8</f>
        <v>0</v>
      </c>
      <c r="R22" s="713">
        <f>SUM(C22:Q22)</f>
        <v>5313.797037205537</v>
      </c>
      <c r="S22" s="67"/>
    </row>
    <row r="23" spans="1:19" s="457" customFormat="1" ht="17.25" thickTop="1" thickBot="1">
      <c r="A23" s="718" t="s">
        <v>116</v>
      </c>
      <c r="B23" s="852"/>
      <c r="C23" s="719">
        <f ca="1">C20+C15+C22</f>
        <v>264447.24695969827</v>
      </c>
      <c r="D23" s="719">
        <f t="shared" ref="D23:Q23" ca="1" si="2">D20+D15+D22</f>
        <v>25916.785714285714</v>
      </c>
      <c r="E23" s="719">
        <f t="shared" ca="1" si="2"/>
        <v>422765.15735619189</v>
      </c>
      <c r="F23" s="719">
        <f t="shared" si="2"/>
        <v>11300.052820901443</v>
      </c>
      <c r="G23" s="719">
        <f t="shared" ca="1" si="2"/>
        <v>122312.86990044225</v>
      </c>
      <c r="H23" s="719">
        <f t="shared" si="2"/>
        <v>118030.95830576509</v>
      </c>
      <c r="I23" s="719">
        <f t="shared" si="2"/>
        <v>25069.662208883252</v>
      </c>
      <c r="J23" s="719">
        <f t="shared" si="2"/>
        <v>0</v>
      </c>
      <c r="K23" s="719">
        <f t="shared" si="2"/>
        <v>1247.6263749508366</v>
      </c>
      <c r="L23" s="719">
        <f t="shared" si="2"/>
        <v>0</v>
      </c>
      <c r="M23" s="719">
        <f t="shared" ca="1" si="2"/>
        <v>0</v>
      </c>
      <c r="N23" s="719">
        <f t="shared" si="2"/>
        <v>6255.2835171701745</v>
      </c>
      <c r="O23" s="719">
        <f t="shared" ca="1" si="2"/>
        <v>28544.84745569398</v>
      </c>
      <c r="P23" s="719">
        <f t="shared" si="2"/>
        <v>221.99333333333337</v>
      </c>
      <c r="Q23" s="720">
        <f t="shared" si="2"/>
        <v>610.13333333333344</v>
      </c>
      <c r="R23" s="721">
        <f ca="1">R20+R15+R22</f>
        <v>1026722.6172806496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13241.586064950681</v>
      </c>
      <c r="D36" s="702">
        <f ca="1">tertiair!C20</f>
        <v>8.4025210084033635</v>
      </c>
      <c r="E36" s="702">
        <f ca="1">tertiair!D20</f>
        <v>13660.377538009712</v>
      </c>
      <c r="F36" s="702">
        <f>tertiair!E20</f>
        <v>232.10241473152772</v>
      </c>
      <c r="G36" s="702">
        <f ca="1">tertiair!F20</f>
        <v>2926.3295374230793</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30068.798076123407</v>
      </c>
    </row>
    <row r="37" spans="1:18">
      <c r="A37" s="873" t="s">
        <v>226</v>
      </c>
      <c r="B37" s="880"/>
      <c r="C37" s="702">
        <f ca="1">huishoudens!B12</f>
        <v>11309.431580234816</v>
      </c>
      <c r="D37" s="702">
        <f ca="1">huishoudens!C12</f>
        <v>0</v>
      </c>
      <c r="E37" s="702">
        <f>huishoudens!D12</f>
        <v>24317.651333888003</v>
      </c>
      <c r="F37" s="702">
        <f>huishoudens!E12</f>
        <v>1880.9679302504942</v>
      </c>
      <c r="G37" s="702">
        <f>huishoudens!F12</f>
        <v>20812.382702183841</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58320.433546557149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21393.397985272793</v>
      </c>
      <c r="D39" s="702">
        <f ca="1">industrie!C22</f>
        <v>0</v>
      </c>
      <c r="E39" s="702">
        <f>industrie!D22</f>
        <v>47328.574935839999</v>
      </c>
      <c r="F39" s="702">
        <f>industrie!E22</f>
        <v>276.93778605049386</v>
      </c>
      <c r="G39" s="702">
        <f>industrie!F22</f>
        <v>7848.7108427124276</v>
      </c>
      <c r="H39" s="702">
        <f>industrie!G22</f>
        <v>0</v>
      </c>
      <c r="I39" s="702">
        <f>industrie!H22</f>
        <v>0</v>
      </c>
      <c r="J39" s="702">
        <f>industrie!I22</f>
        <v>0</v>
      </c>
      <c r="K39" s="702">
        <f>industrie!J22</f>
        <v>416.98921790762074</v>
      </c>
      <c r="L39" s="702">
        <f>industrie!K22</f>
        <v>0</v>
      </c>
      <c r="M39" s="702">
        <f>industrie!L22</f>
        <v>0</v>
      </c>
      <c r="N39" s="702">
        <f>industrie!M22</f>
        <v>0</v>
      </c>
      <c r="O39" s="702">
        <f>industrie!N22</f>
        <v>0</v>
      </c>
      <c r="P39" s="702">
        <f>industrie!O22</f>
        <v>0</v>
      </c>
      <c r="Q39" s="812">
        <f>industrie!P22</f>
        <v>0</v>
      </c>
      <c r="R39" s="906">
        <f ca="1">SUM(C39:Q39)</f>
        <v>77264.610767783335</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45944.415630458287</v>
      </c>
      <c r="D41" s="747">
        <f t="shared" ref="D41:R41" ca="1" si="4">SUM(D35:D40)</f>
        <v>8.4025210084033635</v>
      </c>
      <c r="E41" s="747">
        <f t="shared" ca="1" si="4"/>
        <v>85306.603807737716</v>
      </c>
      <c r="F41" s="747">
        <f t="shared" si="4"/>
        <v>2390.0081310325158</v>
      </c>
      <c r="G41" s="747">
        <f t="shared" ca="1" si="4"/>
        <v>31587.42308231935</v>
      </c>
      <c r="H41" s="747">
        <f t="shared" si="4"/>
        <v>0</v>
      </c>
      <c r="I41" s="747">
        <f t="shared" si="4"/>
        <v>0</v>
      </c>
      <c r="J41" s="747">
        <f t="shared" si="4"/>
        <v>0</v>
      </c>
      <c r="K41" s="747">
        <f t="shared" si="4"/>
        <v>416.98921790762074</v>
      </c>
      <c r="L41" s="747">
        <f t="shared" si="4"/>
        <v>0</v>
      </c>
      <c r="M41" s="747">
        <f t="shared" ca="1" si="4"/>
        <v>0</v>
      </c>
      <c r="N41" s="747">
        <f t="shared" si="4"/>
        <v>0</v>
      </c>
      <c r="O41" s="747">
        <f t="shared" ca="1" si="4"/>
        <v>0</v>
      </c>
      <c r="P41" s="747">
        <f t="shared" si="4"/>
        <v>0</v>
      </c>
      <c r="Q41" s="748">
        <f t="shared" si="4"/>
        <v>0</v>
      </c>
      <c r="R41" s="749">
        <f t="shared" ca="1" si="4"/>
        <v>165653.84239046389</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678.99185564050879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678.99185564050879</v>
      </c>
    </row>
    <row r="45" spans="1:18" ht="15" thickBot="1">
      <c r="A45" s="876" t="s">
        <v>308</v>
      </c>
      <c r="B45" s="886"/>
      <c r="C45" s="711">
        <f ca="1">transport!B18</f>
        <v>0.26093755977438121</v>
      </c>
      <c r="D45" s="711">
        <f>transport!C18</f>
        <v>0</v>
      </c>
      <c r="E45" s="711">
        <f>transport!D18</f>
        <v>1.5252135050636455</v>
      </c>
      <c r="F45" s="711">
        <f>transport!E18</f>
        <v>173.24885705486832</v>
      </c>
      <c r="G45" s="711">
        <f>transport!F18</f>
        <v>0</v>
      </c>
      <c r="H45" s="711">
        <f>transport!G18</f>
        <v>30835.274011998772</v>
      </c>
      <c r="I45" s="711">
        <f>transport!H18</f>
        <v>6242.3458900119294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37252.654910130412</v>
      </c>
    </row>
    <row r="46" spans="1:18" ht="15.75" thickBot="1">
      <c r="A46" s="874" t="s">
        <v>231</v>
      </c>
      <c r="B46" s="887"/>
      <c r="C46" s="747">
        <f t="shared" ref="C46:R46" ca="1" si="5">SUM(C43:C45)</f>
        <v>0.26093755977438121</v>
      </c>
      <c r="D46" s="747">
        <f t="shared" ca="1" si="5"/>
        <v>0</v>
      </c>
      <c r="E46" s="747">
        <f t="shared" si="5"/>
        <v>1.5252135050636455</v>
      </c>
      <c r="F46" s="747">
        <f t="shared" si="5"/>
        <v>173.24885705486832</v>
      </c>
      <c r="G46" s="747">
        <f t="shared" si="5"/>
        <v>0</v>
      </c>
      <c r="H46" s="747">
        <f t="shared" si="5"/>
        <v>31514.265867639282</v>
      </c>
      <c r="I46" s="747">
        <f t="shared" si="5"/>
        <v>6242.3458900119294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37931.646765770922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135.97514668006951</v>
      </c>
      <c r="D48" s="702">
        <f ca="1">+landbouw!C12</f>
        <v>0</v>
      </c>
      <c r="E48" s="702">
        <f>+landbouw!D12</f>
        <v>90.432764708000008</v>
      </c>
      <c r="F48" s="702">
        <f>+landbouw!E12</f>
        <v>1.8550022572436173</v>
      </c>
      <c r="G48" s="702">
        <f>+landbouw!F12</f>
        <v>1070.1131810987392</v>
      </c>
      <c r="H48" s="702">
        <f>+landbouw!G12</f>
        <v>0</v>
      </c>
      <c r="I48" s="702">
        <f>+landbouw!H12</f>
        <v>0</v>
      </c>
      <c r="J48" s="702">
        <f>+landbouw!I12</f>
        <v>0</v>
      </c>
      <c r="K48" s="702">
        <f>+landbouw!J12</f>
        <v>24.670518824975446</v>
      </c>
      <c r="L48" s="702">
        <f>+landbouw!K12</f>
        <v>0</v>
      </c>
      <c r="M48" s="702">
        <f>+landbouw!L12</f>
        <v>0</v>
      </c>
      <c r="N48" s="702">
        <f>+landbouw!M12</f>
        <v>0</v>
      </c>
      <c r="O48" s="702">
        <f>+landbouw!N12</f>
        <v>0</v>
      </c>
      <c r="P48" s="702">
        <f>+landbouw!O12</f>
        <v>0</v>
      </c>
      <c r="Q48" s="703">
        <f>+landbouw!P12</f>
        <v>0</v>
      </c>
      <c r="R48" s="745">
        <f ca="1">SUM(C48:Q48)</f>
        <v>1323.0466135690278</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46080.651714698128</v>
      </c>
      <c r="D53" s="757">
        <f t="shared" ref="D53:Q53" ca="1" si="6">D41+D46+D48</f>
        <v>8.4025210084033635</v>
      </c>
      <c r="E53" s="757">
        <f t="shared" ca="1" si="6"/>
        <v>85398.561785950791</v>
      </c>
      <c r="F53" s="757">
        <f t="shared" si="6"/>
        <v>2565.1119903446279</v>
      </c>
      <c r="G53" s="757">
        <f t="shared" ca="1" si="6"/>
        <v>32657.536263418089</v>
      </c>
      <c r="H53" s="757">
        <f t="shared" si="6"/>
        <v>31514.265867639282</v>
      </c>
      <c r="I53" s="757">
        <f t="shared" si="6"/>
        <v>6242.3458900119294</v>
      </c>
      <c r="J53" s="757">
        <f t="shared" si="6"/>
        <v>0</v>
      </c>
      <c r="K53" s="757">
        <f t="shared" si="6"/>
        <v>441.65973673259617</v>
      </c>
      <c r="L53" s="757">
        <f t="shared" si="6"/>
        <v>0</v>
      </c>
      <c r="M53" s="757">
        <f t="shared" ca="1" si="6"/>
        <v>0</v>
      </c>
      <c r="N53" s="757">
        <f t="shared" si="6"/>
        <v>0</v>
      </c>
      <c r="O53" s="757">
        <f t="shared" ca="1" si="6"/>
        <v>0</v>
      </c>
      <c r="P53" s="757">
        <f>P41+P46+P48</f>
        <v>0</v>
      </c>
      <c r="Q53" s="758">
        <f t="shared" si="6"/>
        <v>0</v>
      </c>
      <c r="R53" s="759">
        <f ca="1">R41+R46+R48</f>
        <v>204908.53576980383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0.17425271862149813</v>
      </c>
      <c r="D55" s="823">
        <f t="shared" ca="1" si="7"/>
        <v>3.2421154000481509E-4</v>
      </c>
      <c r="E55" s="823">
        <f t="shared" ca="1" si="7"/>
        <v>0.20200000000000007</v>
      </c>
      <c r="F55" s="823">
        <f t="shared" si="7"/>
        <v>0.22700000000000004</v>
      </c>
      <c r="G55" s="823">
        <f t="shared" ca="1" si="7"/>
        <v>0.26700000000000007</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26429.898546116718</v>
      </c>
      <c r="C64" s="779">
        <f>'lokale energieproductie'!B4</f>
        <v>26429.898546116718</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11392.476467915265</v>
      </c>
      <c r="C66" s="779">
        <f>'lokale energieproductie'!B6</f>
        <v>11392.476467915265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18141.75</v>
      </c>
      <c r="C67" s="778">
        <f>B67*IFERROR(SUM(J67:L67)/SUM(D67:M67),0)</f>
        <v>18117</v>
      </c>
      <c r="D67" s="810">
        <f>'lokale energieproductie'!C7</f>
        <v>29.117647058823536</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21314.117647058825</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5.8817647058823548</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55964.125014031983</v>
      </c>
      <c r="C69" s="787">
        <f>SUM(C64:C68)</f>
        <v>55939.375014031983</v>
      </c>
      <c r="D69" s="788">
        <f t="shared" ref="D69:M69" si="8">SUM(D67:D68)</f>
        <v>29.117647058823536</v>
      </c>
      <c r="E69" s="788">
        <f t="shared" si="8"/>
        <v>0</v>
      </c>
      <c r="F69" s="788">
        <f t="shared" si="8"/>
        <v>0</v>
      </c>
      <c r="G69" s="788">
        <f t="shared" si="8"/>
        <v>0</v>
      </c>
      <c r="H69" s="788">
        <f t="shared" si="8"/>
        <v>0</v>
      </c>
      <c r="I69" s="788">
        <f t="shared" si="8"/>
        <v>0</v>
      </c>
      <c r="J69" s="788">
        <f t="shared" si="8"/>
        <v>0</v>
      </c>
      <c r="K69" s="788">
        <f t="shared" si="8"/>
        <v>21314.117647058825</v>
      </c>
      <c r="L69" s="788">
        <f t="shared" si="8"/>
        <v>0</v>
      </c>
      <c r="M69" s="918">
        <f t="shared" si="8"/>
        <v>0</v>
      </c>
      <c r="N69" s="789">
        <v>0</v>
      </c>
      <c r="O69" s="789">
        <f>SUM(O67:O68)</f>
        <v>5.8817647058823548</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25916.785714285714</v>
      </c>
      <c r="C78" s="801">
        <f>B78*IFERROR(SUM(I78:L78)/SUM(D78:M78),0)</f>
        <v>25881.428571428572</v>
      </c>
      <c r="D78" s="816">
        <f>'lokale energieproductie'!C16</f>
        <v>41.596638655462193</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30448.739495798323</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8.4025210084033635</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25916.785714285714</v>
      </c>
      <c r="C81" s="787">
        <f>SUM(C78:C80)</f>
        <v>25881.428571428572</v>
      </c>
      <c r="D81" s="787">
        <f t="shared" ref="D81:P81" si="9">SUM(D78:D80)</f>
        <v>41.596638655462193</v>
      </c>
      <c r="E81" s="787">
        <f t="shared" si="9"/>
        <v>0</v>
      </c>
      <c r="F81" s="787">
        <f t="shared" si="9"/>
        <v>0</v>
      </c>
      <c r="G81" s="787">
        <f t="shared" si="9"/>
        <v>0</v>
      </c>
      <c r="H81" s="787">
        <f t="shared" si="9"/>
        <v>0</v>
      </c>
      <c r="I81" s="787">
        <f t="shared" si="9"/>
        <v>0</v>
      </c>
      <c r="J81" s="787">
        <f t="shared" si="9"/>
        <v>0</v>
      </c>
      <c r="K81" s="787">
        <f t="shared" si="9"/>
        <v>30448.739495798323</v>
      </c>
      <c r="L81" s="787">
        <f t="shared" si="9"/>
        <v>0</v>
      </c>
      <c r="M81" s="787">
        <f t="shared" si="9"/>
        <v>0</v>
      </c>
      <c r="N81" s="787">
        <v>0</v>
      </c>
      <c r="O81" s="787">
        <f>SUM(O78:O80)</f>
        <v>8.4025210084033635</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64902.468493478824</v>
      </c>
      <c r="C4" s="461">
        <f>huishoudens!C8</f>
        <v>0</v>
      </c>
      <c r="D4" s="461">
        <f>huishoudens!D8</f>
        <v>120384.41254400001</v>
      </c>
      <c r="E4" s="461">
        <f>huishoudens!E8</f>
        <v>8286.20233590526</v>
      </c>
      <c r="F4" s="461">
        <f>huishoudens!F8</f>
        <v>77948.998884583663</v>
      </c>
      <c r="G4" s="461">
        <f>huishoudens!G8</f>
        <v>0</v>
      </c>
      <c r="H4" s="461">
        <f>huishoudens!H8</f>
        <v>0</v>
      </c>
      <c r="I4" s="461">
        <f>huishoudens!I8</f>
        <v>0</v>
      </c>
      <c r="J4" s="461">
        <f>huishoudens!J8</f>
        <v>0</v>
      </c>
      <c r="K4" s="461">
        <f>huishoudens!K8</f>
        <v>0</v>
      </c>
      <c r="L4" s="461">
        <f>huishoudens!L8</f>
        <v>0</v>
      </c>
      <c r="M4" s="461">
        <f>huishoudens!M8</f>
        <v>0</v>
      </c>
      <c r="N4" s="461">
        <f>huishoudens!N8</f>
        <v>26154.353882529471</v>
      </c>
      <c r="O4" s="461">
        <f>huishoudens!O8</f>
        <v>220.43000000000004</v>
      </c>
      <c r="P4" s="462">
        <f>huishoudens!P8</f>
        <v>552.93333333333339</v>
      </c>
      <c r="Q4" s="463">
        <f>SUM(B4:P4)</f>
        <v>298449.79947383056</v>
      </c>
    </row>
    <row r="5" spans="1:17">
      <c r="A5" s="460" t="s">
        <v>156</v>
      </c>
      <c r="B5" s="461">
        <f ca="1">tertiair!B16</f>
        <v>73900.861000000004</v>
      </c>
      <c r="C5" s="461">
        <f ca="1">tertiair!C16</f>
        <v>25916.785714285714</v>
      </c>
      <c r="D5" s="461">
        <f ca="1">tertiair!D16</f>
        <v>67625.631376285703</v>
      </c>
      <c r="E5" s="461">
        <f>tertiair!E16</f>
        <v>1022.4775979362454</v>
      </c>
      <c r="F5" s="461">
        <f ca="1">tertiair!F16</f>
        <v>10960.03572068569</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1.5633333333333335</v>
      </c>
      <c r="P5" s="462">
        <f>tertiair!P16</f>
        <v>57.2</v>
      </c>
      <c r="Q5" s="460">
        <f t="shared" ref="Q5:Q13" ca="1" si="0">SUM(B5:P5)</f>
        <v>179484.55474252667</v>
      </c>
    </row>
    <row r="6" spans="1:17">
      <c r="A6" s="460" t="s">
        <v>195</v>
      </c>
      <c r="B6" s="461">
        <f>'openbare verlichting'!B8</f>
        <v>2089.8389999999999</v>
      </c>
      <c r="C6" s="461"/>
      <c r="D6" s="461"/>
      <c r="E6" s="461"/>
      <c r="F6" s="461"/>
      <c r="G6" s="461"/>
      <c r="H6" s="461"/>
      <c r="I6" s="461"/>
      <c r="J6" s="461"/>
      <c r="K6" s="461"/>
      <c r="L6" s="461"/>
      <c r="M6" s="461"/>
      <c r="N6" s="461"/>
      <c r="O6" s="461"/>
      <c r="P6" s="462"/>
      <c r="Q6" s="460">
        <f t="shared" si="0"/>
        <v>2089.8389999999999</v>
      </c>
    </row>
    <row r="7" spans="1:17">
      <c r="A7" s="460" t="s">
        <v>112</v>
      </c>
      <c r="B7" s="461">
        <f>landbouw!B8</f>
        <v>780.33299999999997</v>
      </c>
      <c r="C7" s="461">
        <f>landbouw!C8</f>
        <v>0</v>
      </c>
      <c r="D7" s="461">
        <f>landbouw!D8</f>
        <v>447.68695400000001</v>
      </c>
      <c r="E7" s="461">
        <f>landbouw!E8</f>
        <v>8.1718161112053629</v>
      </c>
      <c r="F7" s="461">
        <f>landbouw!F8</f>
        <v>4007.9145359503336</v>
      </c>
      <c r="G7" s="461">
        <f>landbouw!G8</f>
        <v>0</v>
      </c>
      <c r="H7" s="461">
        <f>landbouw!H8</f>
        <v>0</v>
      </c>
      <c r="I7" s="461">
        <f>landbouw!I8</f>
        <v>0</v>
      </c>
      <c r="J7" s="461">
        <f>landbouw!J8</f>
        <v>69.690731143998434</v>
      </c>
      <c r="K7" s="461">
        <f>landbouw!K8</f>
        <v>0</v>
      </c>
      <c r="L7" s="461">
        <f>landbouw!L8</f>
        <v>0</v>
      </c>
      <c r="M7" s="461">
        <f>landbouw!M8</f>
        <v>0</v>
      </c>
      <c r="N7" s="461">
        <f>landbouw!N8</f>
        <v>0</v>
      </c>
      <c r="O7" s="461">
        <f>landbouw!O8</f>
        <v>0</v>
      </c>
      <c r="P7" s="462">
        <f>landbouw!P8</f>
        <v>0</v>
      </c>
      <c r="Q7" s="460">
        <f t="shared" si="0"/>
        <v>5313.797037205537</v>
      </c>
    </row>
    <row r="8" spans="1:17">
      <c r="A8" s="460" t="s">
        <v>656</v>
      </c>
      <c r="B8" s="461">
        <f>industrie!B18</f>
        <v>122772.24800000002</v>
      </c>
      <c r="C8" s="461">
        <f>industrie!C18</f>
        <v>0</v>
      </c>
      <c r="D8" s="461">
        <f>industrie!D18</f>
        <v>234299.87591999996</v>
      </c>
      <c r="E8" s="461">
        <f>industrie!E18</f>
        <v>1219.9902469184751</v>
      </c>
      <c r="F8" s="461">
        <f>industrie!F18</f>
        <v>29395.920759222572</v>
      </c>
      <c r="G8" s="461">
        <f>industrie!G18</f>
        <v>0</v>
      </c>
      <c r="H8" s="461">
        <f>industrie!H18</f>
        <v>0</v>
      </c>
      <c r="I8" s="461">
        <f>industrie!I18</f>
        <v>0</v>
      </c>
      <c r="J8" s="461">
        <f>industrie!J18</f>
        <v>1177.9356438068382</v>
      </c>
      <c r="K8" s="461">
        <f>industrie!K18</f>
        <v>0</v>
      </c>
      <c r="L8" s="461">
        <f>industrie!L18</f>
        <v>0</v>
      </c>
      <c r="M8" s="461">
        <f>industrie!M18</f>
        <v>0</v>
      </c>
      <c r="N8" s="461">
        <f>industrie!N18</f>
        <v>2390.4935731645087</v>
      </c>
      <c r="O8" s="461">
        <f>industrie!O18</f>
        <v>0</v>
      </c>
      <c r="P8" s="462">
        <f>industrie!P18</f>
        <v>0</v>
      </c>
      <c r="Q8" s="460">
        <f t="shared" si="0"/>
        <v>391256.46414311236</v>
      </c>
    </row>
    <row r="9" spans="1:17" s="466" customFormat="1">
      <c r="A9" s="464" t="s">
        <v>574</v>
      </c>
      <c r="B9" s="465">
        <f>transport!B14</f>
        <v>1.4974662194004269</v>
      </c>
      <c r="C9" s="465">
        <f>transport!C14</f>
        <v>0</v>
      </c>
      <c r="D9" s="465">
        <f>transport!D14</f>
        <v>7.5505619062556706</v>
      </c>
      <c r="E9" s="465">
        <f>transport!E14</f>
        <v>763.21082403025696</v>
      </c>
      <c r="F9" s="465">
        <f>transport!F14</f>
        <v>0</v>
      </c>
      <c r="G9" s="465">
        <f>transport!G14</f>
        <v>115487.91764793546</v>
      </c>
      <c r="H9" s="465">
        <f>transport!H14</f>
        <v>25069.662208883252</v>
      </c>
      <c r="I9" s="465">
        <f>transport!I14</f>
        <v>0</v>
      </c>
      <c r="J9" s="465">
        <f>transport!J14</f>
        <v>0</v>
      </c>
      <c r="K9" s="465">
        <f>transport!K14</f>
        <v>0</v>
      </c>
      <c r="L9" s="465">
        <f>transport!L14</f>
        <v>0</v>
      </c>
      <c r="M9" s="465">
        <f>transport!M14</f>
        <v>6146.8847421074443</v>
      </c>
      <c r="N9" s="465">
        <f>transport!N14</f>
        <v>0</v>
      </c>
      <c r="O9" s="465">
        <f>transport!O14</f>
        <v>0</v>
      </c>
      <c r="P9" s="465">
        <f>transport!P14</f>
        <v>0</v>
      </c>
      <c r="Q9" s="464">
        <f>SUM(B9:P9)</f>
        <v>147476.72345108207</v>
      </c>
    </row>
    <row r="10" spans="1:17">
      <c r="A10" s="460" t="s">
        <v>564</v>
      </c>
      <c r="B10" s="461">
        <f>transport!B54</f>
        <v>0</v>
      </c>
      <c r="C10" s="461">
        <f>transport!C54</f>
        <v>0</v>
      </c>
      <c r="D10" s="461">
        <f>transport!D54</f>
        <v>0</v>
      </c>
      <c r="E10" s="461">
        <f>transport!E54</f>
        <v>0</v>
      </c>
      <c r="F10" s="461">
        <f>transport!F54</f>
        <v>0</v>
      </c>
      <c r="G10" s="461">
        <f>transport!G54</f>
        <v>2543.0406578296206</v>
      </c>
      <c r="H10" s="461">
        <f>transport!H54</f>
        <v>0</v>
      </c>
      <c r="I10" s="461">
        <f>transport!I54</f>
        <v>0</v>
      </c>
      <c r="J10" s="461">
        <f>transport!J54</f>
        <v>0</v>
      </c>
      <c r="K10" s="461">
        <f>transport!K54</f>
        <v>0</v>
      </c>
      <c r="L10" s="461">
        <f>transport!L54</f>
        <v>0</v>
      </c>
      <c r="M10" s="461">
        <f>transport!M54</f>
        <v>108.39877506273039</v>
      </c>
      <c r="N10" s="461">
        <f>transport!N54</f>
        <v>0</v>
      </c>
      <c r="O10" s="461">
        <f>transport!O54</f>
        <v>0</v>
      </c>
      <c r="P10" s="462">
        <f>transport!P54</f>
        <v>0</v>
      </c>
      <c r="Q10" s="460">
        <f t="shared" si="0"/>
        <v>2651.4394328923509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264447.24695969827</v>
      </c>
      <c r="C14" s="471">
        <f t="shared" ref="C14:Q14" ca="1" si="1">SUM(C4:C13)</f>
        <v>25916.785714285714</v>
      </c>
      <c r="D14" s="471">
        <f t="shared" ca="1" si="1"/>
        <v>422765.15735619195</v>
      </c>
      <c r="E14" s="471">
        <f t="shared" si="1"/>
        <v>11300.052820901443</v>
      </c>
      <c r="F14" s="471">
        <f t="shared" ca="1" si="1"/>
        <v>122312.86990044225</v>
      </c>
      <c r="G14" s="471">
        <f t="shared" si="1"/>
        <v>118030.95830576509</v>
      </c>
      <c r="H14" s="471">
        <f t="shared" si="1"/>
        <v>25069.662208883252</v>
      </c>
      <c r="I14" s="471">
        <f t="shared" si="1"/>
        <v>0</v>
      </c>
      <c r="J14" s="471">
        <f t="shared" si="1"/>
        <v>1247.6263749508366</v>
      </c>
      <c r="K14" s="471">
        <f t="shared" si="1"/>
        <v>0</v>
      </c>
      <c r="L14" s="471">
        <f t="shared" ca="1" si="1"/>
        <v>0</v>
      </c>
      <c r="M14" s="471">
        <f t="shared" si="1"/>
        <v>6255.2835171701745</v>
      </c>
      <c r="N14" s="471">
        <f t="shared" ca="1" si="1"/>
        <v>28544.84745569398</v>
      </c>
      <c r="O14" s="471">
        <f t="shared" si="1"/>
        <v>221.99333333333337</v>
      </c>
      <c r="P14" s="472">
        <f t="shared" si="1"/>
        <v>610.13333333333344</v>
      </c>
      <c r="Q14" s="472">
        <f t="shared" ca="1" si="1"/>
        <v>1026722.6172806496</v>
      </c>
    </row>
    <row r="16" spans="1:17">
      <c r="A16" s="474" t="s">
        <v>569</v>
      </c>
      <c r="B16" s="828">
        <f ca="1">huishoudens!B10</f>
        <v>0.17425271862149816</v>
      </c>
      <c r="C16" s="828">
        <f ca="1">huishoudens!C10</f>
        <v>3.2421154000481509E-4</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11309.431580234816</v>
      </c>
      <c r="C21" s="461">
        <f t="shared" ref="C21:C30" ca="1" si="3">C4*$C$16</f>
        <v>0</v>
      </c>
      <c r="D21" s="461">
        <f t="shared" ref="D21:D30" si="4">D4*$D$16</f>
        <v>24317.651333888003</v>
      </c>
      <c r="E21" s="461">
        <f t="shared" ref="E21:E30" si="5">E4*$E$16</f>
        <v>1880.9679302504942</v>
      </c>
      <c r="F21" s="461">
        <f t="shared" ref="F21:F30" si="6">F4*$F$16</f>
        <v>20812.382702183841</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58320.433546557149</v>
      </c>
    </row>
    <row r="22" spans="1:17">
      <c r="A22" s="460" t="s">
        <v>156</v>
      </c>
      <c r="B22" s="461">
        <f t="shared" ca="1" si="2"/>
        <v>12877.425937719448</v>
      </c>
      <c r="C22" s="461">
        <f t="shared" ca="1" si="3"/>
        <v>8.4025210084033635</v>
      </c>
      <c r="D22" s="461">
        <f t="shared" ca="1" si="4"/>
        <v>13660.377538009712</v>
      </c>
      <c r="E22" s="461">
        <f t="shared" si="5"/>
        <v>232.10241473152772</v>
      </c>
      <c r="F22" s="461">
        <f t="shared" ca="1" si="6"/>
        <v>2926.3295374230793</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29704.637948892174</v>
      </c>
    </row>
    <row r="23" spans="1:17">
      <c r="A23" s="460" t="s">
        <v>195</v>
      </c>
      <c r="B23" s="461">
        <f t="shared" ca="1" si="2"/>
        <v>364.1601272312331</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364.1601272312331</v>
      </c>
    </row>
    <row r="24" spans="1:17">
      <c r="A24" s="460" t="s">
        <v>112</v>
      </c>
      <c r="B24" s="461">
        <f t="shared" ca="1" si="2"/>
        <v>135.97514668006951</v>
      </c>
      <c r="C24" s="461">
        <f t="shared" ca="1" si="3"/>
        <v>0</v>
      </c>
      <c r="D24" s="461">
        <f t="shared" si="4"/>
        <v>90.432764708000008</v>
      </c>
      <c r="E24" s="461">
        <f t="shared" si="5"/>
        <v>1.8550022572436173</v>
      </c>
      <c r="F24" s="461">
        <f t="shared" si="6"/>
        <v>1070.1131810987392</v>
      </c>
      <c r="G24" s="461">
        <f t="shared" si="7"/>
        <v>0</v>
      </c>
      <c r="H24" s="461">
        <f t="shared" si="8"/>
        <v>0</v>
      </c>
      <c r="I24" s="461">
        <f t="shared" si="9"/>
        <v>0</v>
      </c>
      <c r="J24" s="461">
        <f t="shared" si="10"/>
        <v>24.670518824975446</v>
      </c>
      <c r="K24" s="461">
        <f t="shared" si="11"/>
        <v>0</v>
      </c>
      <c r="L24" s="461">
        <f t="shared" si="12"/>
        <v>0</v>
      </c>
      <c r="M24" s="461">
        <f t="shared" si="13"/>
        <v>0</v>
      </c>
      <c r="N24" s="461">
        <f t="shared" si="14"/>
        <v>0</v>
      </c>
      <c r="O24" s="461">
        <f t="shared" si="15"/>
        <v>0</v>
      </c>
      <c r="P24" s="462">
        <f t="shared" si="16"/>
        <v>0</v>
      </c>
      <c r="Q24" s="460">
        <f t="shared" ca="1" si="17"/>
        <v>1323.0466135690278</v>
      </c>
    </row>
    <row r="25" spans="1:17">
      <c r="A25" s="460" t="s">
        <v>656</v>
      </c>
      <c r="B25" s="461">
        <f t="shared" ca="1" si="2"/>
        <v>21393.397985272793</v>
      </c>
      <c r="C25" s="461">
        <f t="shared" ca="1" si="3"/>
        <v>0</v>
      </c>
      <c r="D25" s="461">
        <f t="shared" si="4"/>
        <v>47328.574935839999</v>
      </c>
      <c r="E25" s="461">
        <f t="shared" si="5"/>
        <v>276.93778605049386</v>
      </c>
      <c r="F25" s="461">
        <f t="shared" si="6"/>
        <v>7848.7108427124276</v>
      </c>
      <c r="G25" s="461">
        <f t="shared" si="7"/>
        <v>0</v>
      </c>
      <c r="H25" s="461">
        <f t="shared" si="8"/>
        <v>0</v>
      </c>
      <c r="I25" s="461">
        <f t="shared" si="9"/>
        <v>0</v>
      </c>
      <c r="J25" s="461">
        <f t="shared" si="10"/>
        <v>416.98921790762074</v>
      </c>
      <c r="K25" s="461">
        <f t="shared" si="11"/>
        <v>0</v>
      </c>
      <c r="L25" s="461">
        <f t="shared" si="12"/>
        <v>0</v>
      </c>
      <c r="M25" s="461">
        <f t="shared" si="13"/>
        <v>0</v>
      </c>
      <c r="N25" s="461">
        <f t="shared" si="14"/>
        <v>0</v>
      </c>
      <c r="O25" s="461">
        <f t="shared" si="15"/>
        <v>0</v>
      </c>
      <c r="P25" s="462">
        <f t="shared" si="16"/>
        <v>0</v>
      </c>
      <c r="Q25" s="460">
        <f t="shared" ca="1" si="17"/>
        <v>77264.610767783335</v>
      </c>
    </row>
    <row r="26" spans="1:17" s="466" customFormat="1">
      <c r="A26" s="464" t="s">
        <v>574</v>
      </c>
      <c r="B26" s="822">
        <f t="shared" ca="1" si="2"/>
        <v>0.26093755977438121</v>
      </c>
      <c r="C26" s="465">
        <f t="shared" ca="1" si="3"/>
        <v>0</v>
      </c>
      <c r="D26" s="465">
        <f t="shared" si="4"/>
        <v>1.5252135050636455</v>
      </c>
      <c r="E26" s="465">
        <f t="shared" si="5"/>
        <v>173.24885705486832</v>
      </c>
      <c r="F26" s="465">
        <f t="shared" si="6"/>
        <v>0</v>
      </c>
      <c r="G26" s="465">
        <f t="shared" si="7"/>
        <v>30835.274011998772</v>
      </c>
      <c r="H26" s="465">
        <f t="shared" si="8"/>
        <v>6242.3458900119294</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37252.654910130412</v>
      </c>
    </row>
    <row r="27" spans="1:17">
      <c r="A27" s="460" t="s">
        <v>564</v>
      </c>
      <c r="B27" s="461">
        <f t="shared" ca="1" si="2"/>
        <v>0</v>
      </c>
      <c r="C27" s="461">
        <f t="shared" ca="1" si="3"/>
        <v>0</v>
      </c>
      <c r="D27" s="461">
        <f t="shared" si="4"/>
        <v>0</v>
      </c>
      <c r="E27" s="461">
        <f t="shared" si="5"/>
        <v>0</v>
      </c>
      <c r="F27" s="461">
        <f t="shared" si="6"/>
        <v>0</v>
      </c>
      <c r="G27" s="461">
        <f t="shared" si="7"/>
        <v>678.99185564050879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678.99185564050879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46080.651714698135</v>
      </c>
      <c r="C31" s="471">
        <f t="shared" ca="1" si="18"/>
        <v>8.4025210084033635</v>
      </c>
      <c r="D31" s="471">
        <f t="shared" ca="1" si="18"/>
        <v>85398.561785950777</v>
      </c>
      <c r="E31" s="471">
        <f t="shared" si="18"/>
        <v>2565.1119903446279</v>
      </c>
      <c r="F31" s="471">
        <f t="shared" ca="1" si="18"/>
        <v>32657.536263418086</v>
      </c>
      <c r="G31" s="471">
        <f t="shared" si="18"/>
        <v>31514.265867639282</v>
      </c>
      <c r="H31" s="471">
        <f t="shared" si="18"/>
        <v>6242.3458900119294</v>
      </c>
      <c r="I31" s="471">
        <f t="shared" si="18"/>
        <v>0</v>
      </c>
      <c r="J31" s="471">
        <f t="shared" si="18"/>
        <v>441.65973673259617</v>
      </c>
      <c r="K31" s="471">
        <f t="shared" si="18"/>
        <v>0</v>
      </c>
      <c r="L31" s="471">
        <f t="shared" ca="1" si="18"/>
        <v>0</v>
      </c>
      <c r="M31" s="471">
        <f t="shared" si="18"/>
        <v>0</v>
      </c>
      <c r="N31" s="471">
        <f t="shared" ca="1" si="18"/>
        <v>0</v>
      </c>
      <c r="O31" s="471">
        <f t="shared" si="18"/>
        <v>0</v>
      </c>
      <c r="P31" s="472">
        <f t="shared" si="18"/>
        <v>0</v>
      </c>
      <c r="Q31" s="472">
        <f t="shared" ca="1" si="18"/>
        <v>204908.53576980383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0.17425271862149816</v>
      </c>
      <c r="C17" s="511">
        <f ca="1">'EF ele_warmte'!B22</f>
        <v>3.2421154000481509E-4</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0.17425271862149816</v>
      </c>
      <c r="C17" s="511">
        <f ca="1">'EF ele_warmte'!B22</f>
        <v>3.2421154000481509E-4</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0.17425271862149816</v>
      </c>
      <c r="C29" s="512">
        <f ca="1">'EF ele_warmte'!B22</f>
        <v>3.2421154000481509E-4</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2018-06-27T09:03:18Z</dcterms:modified>
</cp:coreProperties>
</file>