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C16" i="16" s="1"/>
  <c r="N89" i="18"/>
  <c r="B16" i="16" s="1"/>
  <c r="M89" i="18"/>
  <c r="W88"/>
  <c r="H8" s="1"/>
  <c r="V88"/>
  <c r="U88"/>
  <c r="T8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O5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K11"/>
  <c r="J11"/>
  <c r="I11"/>
  <c r="H11"/>
  <c r="G11"/>
  <c r="F11"/>
  <c r="E11"/>
  <c r="D11"/>
  <c r="C11"/>
  <c r="L8"/>
  <c r="L9" s="1"/>
  <c r="K8"/>
  <c r="K9" s="1"/>
  <c r="I8"/>
  <c r="G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B11"/>
  <c r="D10"/>
  <c r="D9"/>
  <c r="E8"/>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Q12"/>
  <c r="B12"/>
  <c r="N11"/>
  <c r="L11"/>
  <c r="K11"/>
  <c r="J11"/>
  <c r="H11"/>
  <c r="G11"/>
  <c r="F11"/>
  <c r="P9"/>
  <c r="O9"/>
  <c r="N9"/>
  <c r="L9"/>
  <c r="K9"/>
  <c r="J9"/>
  <c r="I9"/>
  <c r="F9"/>
  <c r="C9"/>
  <c r="M8"/>
  <c r="K8"/>
  <c r="I8"/>
  <c r="H8"/>
  <c r="G8"/>
  <c r="P7"/>
  <c r="O7"/>
  <c r="M7"/>
  <c r="K7"/>
  <c r="I7"/>
  <c r="H7"/>
  <c r="G7"/>
  <c r="M4"/>
  <c r="L4"/>
  <c r="K4"/>
  <c r="I4"/>
  <c r="H4"/>
  <c r="G4"/>
  <c r="M79" i="14"/>
  <c r="E79"/>
  <c r="B79"/>
  <c r="M78"/>
  <c r="L78"/>
  <c r="H78"/>
  <c r="G78"/>
  <c r="E78"/>
  <c r="L68"/>
  <c r="J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H68" i="14" l="1"/>
  <c r="D8" i="17"/>
  <c r="B16" i="18"/>
  <c r="B78" i="14" s="1"/>
  <c r="N16" i="16"/>
  <c r="D16"/>
  <c r="O80" i="14"/>
  <c r="J8" i="18"/>
  <c r="K68" i="14" s="1"/>
  <c r="C97" i="18"/>
  <c r="I100" s="1"/>
  <c r="H7" s="1"/>
  <c r="I67" i="14" s="1"/>
  <c r="C18" i="16"/>
  <c r="C8" i="48" s="1"/>
  <c r="F13" i="15"/>
  <c r="D6" i="17"/>
  <c r="D12" i="22"/>
  <c r="E17" i="14"/>
  <c r="D13" i="48"/>
  <c r="D30" s="1"/>
  <c r="D31" i="20"/>
  <c r="E43" i="14" s="1"/>
  <c r="I101" i="18"/>
  <c r="H16" s="1"/>
  <c r="I78" i="14" s="1"/>
  <c r="E101" i="18"/>
  <c r="E16" s="1"/>
  <c r="F78" i="14" s="1"/>
  <c r="F101" i="18"/>
  <c r="H101"/>
  <c r="D101"/>
  <c r="G101"/>
  <c r="C101"/>
  <c r="B101"/>
  <c r="C16" s="1"/>
  <c r="D78" i="14" s="1"/>
  <c r="O78" s="1"/>
  <c r="E12" i="22"/>
  <c r="F17" i="14"/>
  <c r="E13" i="48"/>
  <c r="B12" i="22"/>
  <c r="C17" i="14"/>
  <c r="B13" i="48"/>
  <c r="B13" i="16"/>
  <c r="C35"/>
  <c r="C64" i="14"/>
  <c r="D11" i="48"/>
  <c r="D14" i="15"/>
  <c r="K19" i="19"/>
  <c r="L35" i="14" s="1"/>
  <c r="I19" i="19"/>
  <c r="J35" i="14" s="1"/>
  <c r="B6" i="48"/>
  <c r="Q6" s="1"/>
  <c r="P22" i="16"/>
  <c r="Q39" i="14" s="1"/>
  <c r="P18" i="16"/>
  <c r="P8" i="48" s="1"/>
  <c r="P25" s="1"/>
  <c r="J8" i="17"/>
  <c r="J7" i="48" s="1"/>
  <c r="J24" s="1"/>
  <c r="G19" i="18"/>
  <c r="K19"/>
  <c r="L16" i="16"/>
  <c r="L18" s="1"/>
  <c r="N6" i="17"/>
  <c r="G100" i="18"/>
  <c r="B81" i="14"/>
  <c r="E31" i="20"/>
  <c r="F43" i="14" s="1"/>
  <c r="H14" i="22"/>
  <c r="F8" i="17"/>
  <c r="G22" i="14" s="1"/>
  <c r="D100" i="18"/>
  <c r="H100"/>
  <c r="B100"/>
  <c r="C7" s="1"/>
  <c r="D67" i="14" s="1"/>
  <c r="E9"/>
  <c r="J9"/>
  <c r="J15" s="1"/>
  <c r="N9"/>
  <c r="I11" i="48"/>
  <c r="M11"/>
  <c r="M19" i="19"/>
  <c r="N35" i="14" s="1"/>
  <c r="J7" i="15"/>
  <c r="O5" i="16"/>
  <c r="B7" i="18"/>
  <c r="B67" i="14" s="1"/>
  <c r="C80"/>
  <c r="C16" i="15"/>
  <c r="D10" i="14" s="1"/>
  <c r="L6" i="17"/>
  <c r="E100" i="18"/>
  <c r="E7" s="1"/>
  <c r="F67" i="14" s="1"/>
  <c r="F69" s="1"/>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I17" i="14"/>
  <c r="H13" i="48"/>
  <c r="H30" s="1"/>
  <c r="H31" i="20"/>
  <c r="I43" i="14" s="1"/>
  <c r="G31" i="20"/>
  <c r="H43" i="14" s="1"/>
  <c r="C78" i="22"/>
  <c r="E7" i="15"/>
  <c r="Q9" i="14"/>
  <c r="G5" i="48"/>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M46"/>
  <c r="H69"/>
  <c r="P20"/>
  <c r="K20"/>
  <c r="G20"/>
  <c r="L69"/>
  <c r="D5" i="15"/>
  <c r="D16" s="1"/>
  <c r="B8"/>
  <c r="J8"/>
  <c r="F12"/>
  <c r="I20"/>
  <c r="J36" i="14" s="1"/>
  <c r="J41" s="1"/>
  <c r="B9" i="16"/>
  <c r="N9"/>
  <c r="D7" i="48"/>
  <c r="D24" s="1"/>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D5"/>
  <c r="B5"/>
  <c r="P11" i="48"/>
  <c r="P28" s="1"/>
  <c r="I5"/>
  <c r="I22" s="1"/>
  <c r="K28"/>
  <c r="H5"/>
  <c r="O11"/>
  <c r="P9" i="14"/>
  <c r="M5" i="48"/>
  <c r="G28"/>
  <c r="C11" i="14"/>
  <c r="B4" i="48"/>
  <c r="E30"/>
  <c r="E29"/>
  <c r="E27"/>
  <c r="I30"/>
  <c r="I27"/>
  <c r="I26"/>
  <c r="I29"/>
  <c r="K26"/>
  <c r="O29"/>
  <c r="K21"/>
  <c r="G21"/>
  <c r="M16"/>
  <c r="M21" s="1"/>
  <c r="K29"/>
  <c r="B39" i="13"/>
  <c r="B51" s="1"/>
  <c r="F5" s="1"/>
  <c r="F8" s="1"/>
  <c r="G11" i="14" s="1"/>
  <c r="I21" i="48"/>
  <c r="K27"/>
  <c r="G29"/>
  <c r="O21"/>
  <c r="H24"/>
  <c r="L16"/>
  <c r="L21" s="1"/>
  <c r="H21"/>
  <c r="K24"/>
  <c r="K25"/>
  <c r="Q11" i="14"/>
  <c r="P12" i="13"/>
  <c r="Q37" i="14" s="1"/>
  <c r="P4" i="48"/>
  <c r="P21" s="1"/>
  <c r="D12" i="13"/>
  <c r="E37" i="14" s="1"/>
  <c r="D4" i="48"/>
  <c r="D21" s="1"/>
  <c r="E11" i="14"/>
  <c r="F23" i="48"/>
  <c r="J23"/>
  <c r="N23"/>
  <c r="N26"/>
  <c r="D28"/>
  <c r="H28"/>
  <c r="L28"/>
  <c r="F30"/>
  <c r="J30"/>
  <c r="N30"/>
  <c r="G23"/>
  <c r="K23"/>
  <c r="O23"/>
  <c r="G25"/>
  <c r="F26"/>
  <c r="J26"/>
  <c r="O26"/>
  <c r="F27"/>
  <c r="I28"/>
  <c r="D29"/>
  <c r="H29"/>
  <c r="P29"/>
  <c r="K30"/>
  <c r="O30"/>
  <c r="C22" i="13"/>
  <c r="C21"/>
  <c r="C20"/>
  <c r="D23" i="48"/>
  <c r="H23"/>
  <c r="P23"/>
  <c r="H25"/>
  <c r="P26"/>
  <c r="F28"/>
  <c r="J28"/>
  <c r="N28"/>
  <c r="P30"/>
  <c r="G22"/>
  <c r="E23"/>
  <c r="I23"/>
  <c r="O24"/>
  <c r="I25"/>
  <c r="P11" i="14"/>
  <c r="O12" i="13"/>
  <c r="P37" i="14" s="1"/>
  <c r="C9" i="18"/>
  <c r="B10" i="48"/>
  <c r="C18" i="14"/>
  <c r="F7" i="48"/>
  <c r="F24" s="1"/>
  <c r="P24"/>
  <c r="E5" i="17"/>
  <c r="C8"/>
  <c r="G24" i="48"/>
  <c r="K14"/>
  <c r="I24"/>
  <c r="G81" i="14"/>
  <c r="D79"/>
  <c r="H79"/>
  <c r="H81" s="1"/>
  <c r="L79"/>
  <c r="L81" s="1"/>
  <c r="F79"/>
  <c r="F81" s="1"/>
  <c r="J79"/>
  <c r="E68"/>
  <c r="E69" s="1"/>
  <c r="I68"/>
  <c r="M68"/>
  <c r="M69" s="1"/>
  <c r="D19" i="18"/>
  <c r="H19"/>
  <c r="L19"/>
  <c r="B68" i="14"/>
  <c r="G68"/>
  <c r="G69" s="1"/>
  <c r="E81"/>
  <c r="M81"/>
  <c r="B19" i="18"/>
  <c r="F19"/>
  <c r="D11" i="14"/>
  <c r="C4" i="48"/>
  <c r="M17" i="18"/>
  <c r="M18"/>
  <c r="L8" i="17" l="1"/>
  <c r="L7" i="48" s="1"/>
  <c r="L24" s="1"/>
  <c r="L5" i="17"/>
  <c r="L29" i="48"/>
  <c r="M8" i="18"/>
  <c r="L30" i="48"/>
  <c r="L23"/>
  <c r="B35" i="13"/>
  <c r="B47" s="1"/>
  <c r="I69" i="14"/>
  <c r="J12" i="17"/>
  <c r="K48" i="14" s="1"/>
  <c r="F100" i="18"/>
  <c r="I81" i="14"/>
  <c r="E9" i="18"/>
  <c r="Q13" i="14"/>
  <c r="E19" i="18"/>
  <c r="D13" i="14"/>
  <c r="H17"/>
  <c r="J16" i="18"/>
  <c r="K78" i="14" s="1"/>
  <c r="K81" s="1"/>
  <c r="N8" i="17"/>
  <c r="N5"/>
  <c r="H9" i="18"/>
  <c r="M28" i="48"/>
  <c r="C100" i="18"/>
  <c r="I16"/>
  <c r="L12" i="17"/>
  <c r="M48" i="14" s="1"/>
  <c r="D81"/>
  <c r="O79"/>
  <c r="O81" s="1"/>
  <c r="B17" i="6" s="1"/>
  <c r="M23" i="48"/>
  <c r="L27"/>
  <c r="B9" i="18"/>
  <c r="M31" i="20"/>
  <c r="N43" i="14" s="1"/>
  <c r="M12" i="22"/>
  <c r="O18" i="16"/>
  <c r="B34" i="13"/>
  <c r="I7" i="18"/>
  <c r="K22" i="14"/>
  <c r="M13"/>
  <c r="L8" i="48"/>
  <c r="L25" s="1"/>
  <c r="L22" i="16"/>
  <c r="M39" i="14" s="1"/>
  <c r="J19" i="18"/>
  <c r="C7" i="48"/>
  <c r="D22" i="14"/>
  <c r="M22" i="48"/>
  <c r="B36" i="13"/>
  <c r="J7" i="18"/>
  <c r="O68" i="14"/>
  <c r="C68"/>
  <c r="F22"/>
  <c r="E8" i="17"/>
  <c r="D69" i="14"/>
  <c r="O67"/>
  <c r="D18" i="16"/>
  <c r="D22" s="1"/>
  <c r="E39" i="14" s="1"/>
  <c r="M22"/>
  <c r="M16" i="18"/>
  <c r="M19" s="1"/>
  <c r="C79" i="14"/>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M5" i="22"/>
  <c r="G5"/>
  <c r="G14" s="1"/>
  <c r="I14" i="48"/>
  <c r="E5" i="15"/>
  <c r="O20"/>
  <c r="P36" i="14" s="1"/>
  <c r="P10"/>
  <c r="P20" i="15"/>
  <c r="Q36" i="14" s="1"/>
  <c r="Q41" s="1"/>
  <c r="Q53" s="1"/>
  <c r="Q10"/>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N12"/>
  <c r="J12"/>
  <c r="F12"/>
  <c r="E12"/>
  <c r="Q11" i="48"/>
  <c r="O5"/>
  <c r="R9" i="14"/>
  <c r="C19"/>
  <c r="C20" s="1"/>
  <c r="E19"/>
  <c r="E20" s="1"/>
  <c r="O28" i="48"/>
  <c r="H22"/>
  <c r="D5"/>
  <c r="D22" s="1"/>
  <c r="B46" i="13"/>
  <c r="E5" s="1"/>
  <c r="E8" s="1"/>
  <c r="E12" s="1"/>
  <c r="F37" i="14" s="1"/>
  <c r="K31" i="48"/>
  <c r="L26"/>
  <c r="B48" i="13"/>
  <c r="C48" s="1"/>
  <c r="N5" s="1"/>
  <c r="N8" s="1"/>
  <c r="N4" i="48" s="1"/>
  <c r="N21" s="1"/>
  <c r="M29"/>
  <c r="M25"/>
  <c r="M24"/>
  <c r="I31"/>
  <c r="C50" i="13"/>
  <c r="J5" s="1"/>
  <c r="J8" s="1"/>
  <c r="E7" i="48"/>
  <c r="E24" s="1"/>
  <c r="E12" i="17"/>
  <c r="F48" i="14" s="1"/>
  <c r="C5" i="48"/>
  <c r="J78" i="14" l="1"/>
  <c r="I19" i="18"/>
  <c r="E13" i="14"/>
  <c r="C14" i="48"/>
  <c r="O22" i="14"/>
  <c r="R22" s="1"/>
  <c r="N12" i="17"/>
  <c r="O48" i="14" s="1"/>
  <c r="N7" i="48"/>
  <c r="N24" s="1"/>
  <c r="Q15" i="14"/>
  <c r="Q23" s="1"/>
  <c r="Q13" i="48"/>
  <c r="D8"/>
  <c r="D25" s="1"/>
  <c r="D31" s="1"/>
  <c r="E16" i="15"/>
  <c r="E20" s="1"/>
  <c r="F36" i="14" s="1"/>
  <c r="K67"/>
  <c r="K69" s="1"/>
  <c r="J9" i="18"/>
  <c r="J67" i="14"/>
  <c r="I9" i="18"/>
  <c r="M7"/>
  <c r="M9" s="1"/>
  <c r="K10" i="14"/>
  <c r="J16" i="15"/>
  <c r="O8" i="48"/>
  <c r="O25" s="1"/>
  <c r="P13" i="14"/>
  <c r="P15" s="1"/>
  <c r="P23" s="1"/>
  <c r="M14" i="22"/>
  <c r="N19" i="14" s="1"/>
  <c r="O22" i="16"/>
  <c r="P39" i="14" s="1"/>
  <c r="P41" s="1"/>
  <c r="P53" s="1"/>
  <c r="D18" i="22"/>
  <c r="E45" i="14" s="1"/>
  <c r="E46" s="1"/>
  <c r="E18" i="22"/>
  <c r="F45" i="14" s="1"/>
  <c r="F46" s="1"/>
  <c r="E9" i="48"/>
  <c r="E26" s="1"/>
  <c r="M58" i="22"/>
  <c r="N44" i="14" s="1"/>
  <c r="M10" i="48"/>
  <c r="M27" s="1"/>
  <c r="N18" i="14"/>
  <c r="H31" i="48"/>
  <c r="H14"/>
  <c r="G18" i="22"/>
  <c r="H45" i="14" s="1"/>
  <c r="H19"/>
  <c r="G9" i="48"/>
  <c r="G58" i="22"/>
  <c r="H44" i="14" s="1"/>
  <c r="H18"/>
  <c r="G10" i="48"/>
  <c r="P14"/>
  <c r="F10" i="14"/>
  <c r="B8" i="48"/>
  <c r="J5"/>
  <c r="J22" s="1"/>
  <c r="J20" i="15"/>
  <c r="K36" i="14" s="1"/>
  <c r="E15"/>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M18" i="22" l="1"/>
  <c r="N45" i="14" s="1"/>
  <c r="N46" s="1"/>
  <c r="N53" s="1"/>
  <c r="M9" i="48"/>
  <c r="M14" s="1"/>
  <c r="J81" i="14"/>
  <c r="C78"/>
  <c r="C81" s="1"/>
  <c r="E5" i="48"/>
  <c r="E22" s="1"/>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F13" i="14"/>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M26" i="48" l="1"/>
  <c r="M31" s="1"/>
  <c r="N25"/>
  <c r="N31" s="1"/>
  <c r="N14"/>
  <c r="E8"/>
  <c r="Q8" s="1"/>
  <c r="Q14" s="1"/>
  <c r="J22" i="16"/>
  <c r="K39" i="14" s="1"/>
  <c r="K41" s="1"/>
  <c r="K53" s="1"/>
  <c r="J31" i="48"/>
  <c r="J14"/>
  <c r="R20" i="14"/>
  <c r="N55"/>
  <c r="H55"/>
  <c r="G31" i="48"/>
  <c r="F55" i="14"/>
  <c r="O53"/>
  <c r="G53"/>
  <c r="G55" s="1"/>
  <c r="O69" s="1"/>
  <c r="B9" i="6" s="1"/>
  <c r="B12" s="1"/>
  <c r="M53" i="14"/>
  <c r="M55" s="1"/>
  <c r="C12" i="13"/>
  <c r="D37" i="14" s="1"/>
  <c r="D41" s="1"/>
  <c r="C23" i="48"/>
  <c r="C24"/>
  <c r="C27"/>
  <c r="C28"/>
  <c r="C22"/>
  <c r="C25"/>
  <c r="C29"/>
  <c r="C21"/>
  <c r="C26"/>
  <c r="K55" i="14"/>
  <c r="R13"/>
  <c r="R15" s="1"/>
  <c r="F25" i="48"/>
  <c r="F31" s="1"/>
  <c r="F14"/>
  <c r="B20" i="16" l="1"/>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<sst xmlns="http://schemas.openxmlformats.org/spreadsheetml/2006/main" count="2029" uniqueCount="894">
  <si>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</si>
  <si>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</si>
  <si>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</si>
  <si>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</si>
  <si>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</si>
  <si>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</si>
  <si>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</si>
  <si>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</si>
  <si>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</si>
  <si>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</si>
  <si>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</si>
  <si>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</si>
  <si>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</si>
  <si>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</si>
  <si>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</si>
  <si>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</si>
  <si>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</si>
  <si>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</si>
  <si>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</si>
  <si>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</si>
  <si>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</si>
  <si>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</si>
  <si>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</si>
  <si>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</si>
  <si>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</si>
  <si>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</si>
  <si>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</si>
  <si>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</si>
  <si>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</si>
  <si>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</si>
  <si>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</si>
  <si>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</si>
  <si>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</si>
  <si>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</si>
  <si>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</si>
  <si>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</si>
  <si>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</si>
  <si>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</si>
  <si>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</si>
  <si>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</si>
  <si>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</si>
  <si>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</si>
  <si>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</si>
  <si>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</si>
  <si>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</si>
  <si>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</si>
  <si>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</si>
  <si>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</si>
  <si>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</si>
  <si>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</si>
  <si>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</si>
  <si>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</si>
  <si>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</si>
  <si>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</si>
  <si>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</si>
  <si>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</si>
  <si>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</si>
  <si>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</si>
  <si>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</si>
  <si>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</si>
  <si>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</si>
  <si>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</si>
  <si>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</si>
  <si>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</si>
  <si>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</si>
  <si>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</si>
  <si>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</si>
  <si>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</si>
  <si>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</si>
  <si>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</si>
  <si>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</si>
  <si>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</si>
  <si>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</si>
  <si>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</si>
  <si>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</si>
  <si>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</si>
  <si>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</si>
  <si>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</si>
  <si>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</si>
  <si>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</si>
  <si>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</si>
  <si>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</si>
  <si>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</si>
  <si>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</si>
  <si>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</si>
  <si>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</si>
  <si>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</si>
  <si>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</si>
  <si>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</si>
  <si>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</si>
  <si>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</si>
  <si>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</si>
  <si>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</si>
  <si>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</si>
  <si>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</si>
  <si>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</si>
  <si>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</si>
  <si>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</si>
  <si>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</si>
  <si>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</si>
  <si>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</si>
  <si>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</si>
  <si>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</si>
  <si>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</si>
  <si>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</si>
  <si>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</si>
  <si>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</si>
  <si>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</si>
  <si>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</si>
  <si>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</si>
  <si>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</si>
  <si>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</si>
  <si>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</si>
  <si>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</si>
  <si>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</si>
  <si>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</si>
  <si>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</si>
  <si>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</si>
  <si>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</si>
  <si>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</si>
  <si>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</si>
  <si>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</si>
  <si>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</si>
  <si>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</si>
  <si>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</si>
  <si>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</si>
  <si>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</si>
  <si>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</si>
  <si>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</si>
  <si>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</si>
  <si>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</si>
  <si>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</si>
  <si>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</si>
  <si>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</si>
  <si>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</si>
  <si>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</si>
  <si>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</si>
  <si>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</si>
  <si>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</si>
  <si>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</si>
  <si>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</si>
  <si>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</si>
  <si>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</si>
  <si>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</si>
  <si>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</si>
  <si>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</si>
  <si>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</si>
  <si>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</si>
  <si>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</si>
  <si>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</si>
  <si>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</si>
  <si>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</si>
  <si>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</si>
  <si>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</si>
  <si>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</si>
  <si>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</si>
  <si>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</si>
  <si>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</si>
  <si>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</si>
  <si>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</si>
  <si>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</si>
  <si>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</si>
  <si>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</si>
  <si>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</si>
  <si>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</si>
  <si>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</si>
  <si>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</si>
  <si>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</si>
  <si>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</si>
  <si>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</si>
  <si>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</si>
  <si>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</si>
  <si>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</si>
  <si>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</si>
  <si>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</si>
  <si>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</si>
  <si>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</si>
  <si>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</si>
  <si>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</si>
  <si>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</si>
  <si>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</si>
  <si>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</si>
  <si>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</si>
  <si>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</si>
  <si>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</si>
  <si>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</si>
  <si>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</si>
  <si>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</si>
  <si>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</si>
  <si>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</si>
  <si>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</si>
  <si>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</si>
  <si>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</si>
  <si>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</si>
  <si>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</si>
  <si>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</si>
  <si>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</si>
  <si>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</si>
  <si>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</si>
  <si>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</si>
  <si>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</si>
  <si>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</si>
  <si>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</si>
  <si>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</si>
  <si>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</si>
  <si>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</si>
  <si>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</si>
  <si>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</si>
  <si>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</si>
  <si>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</si>
  <si>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</si>
  <si>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</si>
  <si>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</si>
  <si>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</si>
  <si>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</si>
  <si>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</si>
  <si>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</si>
  <si>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</si>
  <si>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</si>
  <si>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</si>
  <si>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</si>
  <si>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</si>
  <si>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</si>
  <si>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</si>
  <si>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</si>
  <si>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</si>
  <si>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</si>
  <si>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</si>
  <si>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</si>
  <si>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</si>
  <si>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</si>
  <si>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</si>
  <si>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</si>
  <si>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</si>
  <si>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</si>
  <si>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</si>
  <si>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</si>
  <si>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</si>
  <si>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</si>
  <si>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</si>
  <si>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</si>
  <si>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</si>
  <si>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</si>
  <si>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</si>
  <si>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</si>
  <si>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</si>
  <si>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</si>
  <si>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</si>
  <si>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</si>
  <si>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</si>
  <si>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</si>
  <si>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</si>
  <si>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</si>
  <si>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</si>
  <si>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</si>
  <si>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</si>
  <si>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</si>
  <si>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</si>
  <si>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</si>
  <si>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</si>
  <si>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</si>
  <si>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</si>
  <si>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</si>
  <si>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</si>
  <si>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</si>
  <si>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</si>
  <si>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</si>
  <si>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</si>
  <si>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</si>
  <si>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</si>
  <si>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</si>
  <si>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</si>
  <si>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</si>
  <si>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</si>
  <si>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</si>
  <si>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</si>
  <si>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</si>
  <si>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</si>
  <si>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</si>
  <si>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</si>
  <si>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</si>
  <si>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</si>
  <si>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</si>
  <si>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</si>
  <si>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</si>
  <si>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</si>
  <si>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</si>
  <si>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</si>
  <si>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</si>
  <si>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</si>
  <si>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</si>
  <si>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</si>
  <si>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</si>
  <si>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</si>
  <si>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</si>
  <si>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</si>
  <si>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</si>
  <si>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</si>
  <si>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</si>
  <si>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</si>
  <si>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</si>
  <si>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</si>
  <si>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</si>
  <si>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</si>
  <si>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</si>
  <si>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</si>
  <si>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</si>
  <si>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</si>
  <si>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</si>
  <si>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</si>
  <si>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</si>
  <si>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</si>
  <si>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</si>
  <si>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</si>
  <si>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</si>
  <si>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</si>
  <si>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</si>
  <si>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</si>
  <si>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</si>
  <si>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</si>
  <si>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</si>
  <si>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</si>
  <si>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</si>
  <si>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</si>
  <si>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</si>
  <si>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</si>
  <si>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</si>
  <si>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</si>
  <si>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</si>
  <si>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</si>
  <si>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</si>
  <si>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</si>
  <si>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</si>
  <si>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</si>
  <si>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</si>
  <si>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</si>
  <si>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</si>
  <si>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</si>
  <si>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</si>
  <si>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</si>
  <si>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</si>
  <si>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</si>
  <si>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</si>
  <si>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</si>
  <si>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</si>
  <si>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</si>
  <si>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</si>
  <si>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</si>
  <si>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</si>
  <si>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</si>
  <si>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</si>
  <si>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</si>
  <si>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</si>
  <si>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</si>
  <si>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</si>
  <si>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</si>
  <si>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</si>
  <si>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</si>
  <si>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</si>
  <si>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</si>
  <si>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</si>
  <si>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</si>
  <si>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</si>
  <si>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</si>
  <si>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</si>
  <si>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</si>
  <si>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</si>
  <si>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</si>
  <si>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</si>
  <si>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</si>
  <si>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</si>
  <si>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</si>
  <si>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</si>
  <si>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</si>
  <si>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</si>
  <si>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</si>
  <si>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</si>
  <si>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</si>
  <si>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</si>
  <si>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</si>
  <si>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</si>
  <si>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</si>
  <si>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</si>
  <si>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</si>
  <si>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</si>
  <si>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</si>
  <si>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</si>
  <si>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</si>
  <si>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</si>
  <si>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</si>
  <si>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</si>
  <si>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</si>
  <si>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</si>
  <si>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</si>
  <si>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</si>
  <si>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</si>
  <si>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</si>
  <si>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</si>
  <si>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</si>
  <si>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</si>
  <si>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</si>
  <si>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</si>
  <si>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</si>
  <si>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</si>
  <si>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</si>
  <si>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</si>
  <si>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</si>
  <si>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</si>
  <si>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</si>
  <si>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</si>
  <si>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</si>
  <si>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</si>
  <si>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</si>
  <si>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</si>
  <si>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</si>
  <si>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</si>
  <si>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</si>
  <si>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</si>
  <si>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</si>
  <si>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</si>
  <si>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</si>
  <si>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</si>
  <si>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</si>
  <si>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</si>
  <si>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</si>
  <si>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</si>
  <si>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</si>
  <si>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</si>
  <si>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</si>
  <si>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</si>
  <si>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</si>
  <si>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</si>
  <si>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</si>
  <si>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</si>
  <si>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</si>
  <si>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</si>
  <si>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</si>
  <si>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</si>
  <si>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</si>
  <si>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</si>
  <si>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</si>
  <si>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</si>
  <si>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</si>
  <si>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</si>
  <si>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</si>
  <si>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</si>
  <si>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</si>
  <si>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</si>
  <si>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</si>
  <si>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</si>
  <si>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</si>
  <si>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</si>
  <si>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</si>
  <si>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</si>
  <si>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</si>
  <si>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</si>
  <si>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</si>
  <si>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</si>
  <si>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</si>
  <si>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</si>
  <si>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</si>
  <si>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</si>
  <si>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</si>
  <si>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</si>
  <si>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</si>
  <si>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</si>
  <si>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</si>
  <si>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</si>
  <si>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</si>
  <si>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</si>
  <si>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</si>
  <si>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</si>
  <si>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</si>
  <si>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</si>
  <si>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</si>
  <si>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</si>
  <si>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</si>
  <si>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</si>
  <si>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</si>
  <si>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</si>
  <si>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</si>
  <si>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</si>
  <si>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</si>
  <si>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</si>
  <si>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</si>
  <si>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</si>
  <si>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</si>
  <si>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</si>
  <si>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</si>
  <si>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</si>
  <si>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</si>
  <si>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</si>
  <si>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</si>
  <si>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</si>
  <si>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</si>
  <si>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</si>
  <si>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</si>
  <si>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</si>
  <si>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</si>
  <si>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</si>
  <si>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</si>
  <si>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</si>
  <si>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</si>
  <si>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</si>
  <si>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</si>
  <si>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</si>
  <si>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</si>
  <si>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</si>
  <si>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</si>
  <si>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</si>
  <si>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</si>
  <si>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</si>
  <si>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</si>
  <si>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</si>
  <si>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</si>
  <si>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</si>
  <si>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</si>
  <si>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</si>
  <si>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</si>
  <si>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</si>
  <si>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</si>
  <si>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</si>
  <si>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</si>
  <si>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</si>
  <si>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</si>
  <si>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</si>
  <si>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</si>
  <si>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</si>
  <si>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</si>
  <si>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</si>
  <si>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</si>
  <si>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</si>
  <si>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</si>
  <si>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</si>
  <si>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</si>
  <si>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</si>
  <si>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</si>
  <si>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</si>
  <si>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</si>
  <si>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</si>
  <si>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</si>
  <si>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</si>
  <si>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</si>
  <si>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</si>
  <si>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</si>
  <si>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</si>
  <si>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</si>
  <si>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</si>
  <si>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</si>
  <si>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</si>
  <si>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</si>
  <si>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</si>
  <si>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</si>
  <si>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</si>
  <si>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</si>
  <si>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</si>
  <si>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</si>
  <si>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</si>
  <si>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</si>
  <si>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</si>
  <si>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</si>
  <si>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</si>
  <si>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</si>
  <si>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</si>
  <si>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</si>
  <si>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</si>
  <si>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</si>
  <si>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</si>
  <si>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</si>
  <si>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</si>
  <si>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</si>
  <si>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</si>
  <si>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</si>
  <si>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</si>
  <si>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</si>
  <si>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</si>
  <si>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</si>
  <si>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</si>
  <si>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</si>
  <si>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</si>
  <si>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</si>
  <si>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</si>
  <si>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</si>
  <si>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</si>
  <si>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</si>
  <si>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</si>
  <si>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</si>
  <si>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</si>
  <si>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</si>
  <si>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</si>
  <si>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</si>
  <si>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</si>
  <si>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</si>
  <si>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</si>
  <si>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</si>
  <si>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</si>
  <si>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</si>
  <si>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</si>
  <si>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</si>
  <si>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</si>
  <si>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</si>
  <si>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</si>
  <si>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</si>
  <si>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</si>
  <si>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</si>
  <si>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</si>
  <si>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</si>
  <si>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</si>
  <si>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</si>
  <si>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</si>
  <si>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</si>
  <si>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</si>
  <si>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</si>
  <si>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</si>
  <si>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</si>
  <si>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</si>
  <si>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</si>
  <si>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</si>
  <si>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</si>
  <si>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</si>
  <si>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</si>
  <si>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</si>
  <si>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</si>
  <si>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</si>
  <si>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</si>
  <si>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</si>
  <si>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</si>
  <si>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</si>
  <si>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</si>
  <si>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</si>
  <si>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</si>
  <si>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</si>
  <si>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</si>
  <si>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</si>
  <si>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</si>
  <si>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</si>
  <si>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</si>
  <si>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</si>
  <si>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</si>
  <si>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</si>
  <si>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</si>
  <si>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</si>
  <si>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</si>
  <si>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</si>
  <si>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</si>
  <si>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</si>
  <si>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</si>
  <si>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</si>
  <si>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</si>
  <si>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</si>
  <si>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</si>
  <si>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</si>
  <si>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</si>
  <si>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</si>
  <si>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</si>
  <si>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</si>
  <si>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</si>
  <si>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</si>
  <si>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</si>
  <si>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</si>
  <si>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</si>
  <si>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</si>
  <si>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</si>
  <si>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</si>
  <si>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</si>
  <si>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</si>
  <si>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</si>
  <si>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</si>
  <si>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</si>
  <si>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</si>
  <si>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</si>
  <si>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</si>
  <si>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</si>
  <si>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</si>
  <si>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</si>
  <si>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</si>
  <si>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</si>
  <si>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</si>
  <si>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</si>
  <si>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</si>
  <si>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</si>
  <si>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</si>
  <si>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</si>
  <si>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</si>
  <si>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</si>
  <si>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</si>
  <si>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</si>
  <si>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</si>
  <si>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</si>
  <si>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</si>
  <si>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</si>
  <si>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</si>
  <si>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</si>
  <si>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</si>
  <si>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</si>
  <si>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</si>
  <si>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</si>
  <si>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</si>
  <si>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</si>
  <si>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</si>
  <si>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</si>
  <si>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</si>
  <si>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</si>
  <si>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</si>
  <si>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</si>
  <si>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</si>
  <si>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</si>
  <si>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</si>
  <si>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</si>
  <si>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</si>
  <si>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</si>
  <si>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</si>
  <si>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</si>
  <si>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</si>
  <si>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</si>
  <si>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</si>
  <si>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</si>
  <si>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</si>
  <si>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</si>
  <si>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</si>
  <si>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</si>
  <si>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</si>
  <si>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</si>
  <si>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</si>
  <si>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</si>
  <si>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</si>
  <si>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</si>
  <si>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</si>
  <si>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</si>
  <si>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</si>
  <si>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</si>
  <si>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</si>
  <si>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</si>
  <si>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</si>
  <si>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</si>
  <si>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</si>
  <si>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</si>
  <si>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</si>
  <si>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</si>
  <si>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</si>
  <si>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</si>
  <si>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</si>
  <si>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</si>
  <si>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</si>
  <si>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</si>
  <si>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</si>
  <si>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</si>
  <si>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</si>
  <si>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</si>
  <si>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</si>
  <si>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</si>
  <si>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</si>
  <si>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</si>
  <si>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</si>
  <si>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</si>
  <si>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</si>
  <si>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</si>
  <si>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</si>
  <si>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</si>
  <si>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</si>
  <si>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</si>
  <si>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</si>
  <si>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</si>
  <si>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</si>
  <si>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</si>
  <si>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</si>
  <si>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</si>
  <si>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</si>
  <si>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</si>
  <si>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</si>
  <si>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</si>
  <si>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</si>
  <si>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</si>
  <si>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</si>
  <si>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</si>
  <si>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</si>
  <si>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</si>
  <si>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</si>
  <si>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</si>
  <si>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</si>
  <si>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</si>
  <si>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</si>
  <si>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</si>
  <si>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</si>
  <si>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</si>
  <si>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</si>
  <si>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</si>
  <si>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</si>
  <si>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</si>
  <si>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</si>
  <si>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</si>
  <si>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</si>
  <si>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</si>
  <si>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</si>
  <si>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</si>
  <si>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</si>
  <si>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</si>
  <si>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</si>
  <si>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</si>
  <si>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</si>
  <si>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</si>
  <si>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</si>
  <si>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</si>
  <si>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</si>
  <si>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</si>
  <si>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</si>
  <si>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</si>
  <si>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</si>
  <si>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</si>
  <si>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</si>
  <si>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</si>
  <si>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</si>
  <si>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</si>
  <si>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</si>
  <si>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</si>
  <si>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</si>
  <si>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</si>
  <si>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</si>
  <si>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</si>
  <si>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</si>
  <si>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</si>
  <si>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</si>
  <si>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</si>
  <si>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</si>
  <si>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</si>
  <si>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</si>
  <si>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</si>
  <si>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</si>
  <si>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</si>
  <si>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</si>
  <si>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</si>
  <si>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</si>
  <si>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</si>
  <si>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</si>
  <si>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</si>
  <si>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</si>
  <si>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</si>
  <si>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</si>
  <si>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</si>
  <si>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</si>
  <si>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</si>
  <si>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</si>
  <si>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</si>
  <si>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</si>
  <si>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</si>
  <si>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</si>
  <si>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</si>
  <si>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</si>
  <si>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</si>
  <si>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</si>
  <si>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</si>
  <si>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</si>
  <si>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</si>
  <si>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</si>
  <si>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</si>
  <si>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</si>
  <si>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</si>
  <si>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</si>
  <si>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</si>
  <si>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</si>
  <si>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</si>
  <si>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</si>
  <si>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</si>
  <si>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</si>
  <si>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</si>
  <si>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</si>
  <si>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</si>
  <si>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</si>
  <si>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</si>
  <si>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</si>
  <si>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</si>
  <si>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</si>
  <si>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</si>
  <si>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</si>
  <si>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</si>
  <si>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</si>
  <si>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</si>
  <si>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</si>
  <si>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</si>
  <si>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</si>
  <si>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</si>
  <si>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</si>
  <si>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</si>
  <si>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</si>
  <si>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</si>
  <si>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71070</t>
  </si>
  <si>
    <t>HEUSDEN-ZOLDER</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</si>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</sst>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71070</v>
      </c>
      <c r="B6" s="396"/>
      <c r="C6" s="397"/>
    </row>
    <row r="7" spans="1:7" s="394" customFormat="1" ht="15.75" customHeight="1">
      <c r="A7" s="398" t="str">
        <f>txtMunicipality</f>
        <v>HEUSDEN-ZOLDER</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71070</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11888</v>
      </c>
      <c r="C9" s="336">
        <v>12841</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857</v>
      </c>
    </row>
    <row r="15" spans="1:6">
      <c r="A15" s="1194" t="s">
        <v>185</v>
      </c>
      <c r="B15" s="333">
        <v>1</v>
      </c>
    </row>
    <row r="16" spans="1:6">
      <c r="A16" s="1194" t="s">
        <v>6</v>
      </c>
      <c r="B16" s="333">
        <v>57</v>
      </c>
    </row>
    <row r="17" spans="1:6">
      <c r="A17" s="1194" t="s">
        <v>7</v>
      </c>
      <c r="B17" s="333">
        <v>57</v>
      </c>
    </row>
    <row r="18" spans="1:6">
      <c r="A18" s="1194" t="s">
        <v>8</v>
      </c>
      <c r="B18" s="333">
        <v>86</v>
      </c>
    </row>
    <row r="19" spans="1:6">
      <c r="A19" s="1194" t="s">
        <v>9</v>
      </c>
      <c r="B19" s="333">
        <v>67</v>
      </c>
    </row>
    <row r="20" spans="1:6">
      <c r="A20" s="1194" t="s">
        <v>10</v>
      </c>
      <c r="B20" s="333">
        <v>101</v>
      </c>
    </row>
    <row r="21" spans="1:6">
      <c r="A21" s="1194" t="s">
        <v>11</v>
      </c>
      <c r="B21" s="333">
        <v>0</v>
      </c>
    </row>
    <row r="22" spans="1:6">
      <c r="A22" s="1194" t="s">
        <v>12</v>
      </c>
      <c r="B22" s="333">
        <v>0</v>
      </c>
    </row>
    <row r="23" spans="1:6">
      <c r="A23" s="1194" t="s">
        <v>13</v>
      </c>
      <c r="B23" s="333">
        <v>0</v>
      </c>
    </row>
    <row r="24" spans="1:6">
      <c r="A24" s="1194" t="s">
        <v>14</v>
      </c>
      <c r="B24" s="333">
        <v>0</v>
      </c>
    </row>
    <row r="25" spans="1:6">
      <c r="A25" s="1194" t="s">
        <v>15</v>
      </c>
      <c r="B25" s="333">
        <v>0</v>
      </c>
    </row>
    <row r="26" spans="1:6">
      <c r="A26" s="1194" t="s">
        <v>16</v>
      </c>
      <c r="B26" s="333">
        <v>30</v>
      </c>
    </row>
    <row r="27" spans="1:6">
      <c r="A27" s="1194" t="s">
        <v>17</v>
      </c>
      <c r="B27" s="333">
        <v>0</v>
      </c>
    </row>
    <row r="28" spans="1:6">
      <c r="A28" s="1194" t="s">
        <v>18</v>
      </c>
      <c r="B28" s="333">
        <v>5335</v>
      </c>
    </row>
    <row r="29" spans="1:6">
      <c r="A29" s="1194" t="s">
        <v>888</v>
      </c>
      <c r="B29" s="333">
        <v>105</v>
      </c>
    </row>
    <row r="30" spans="1:6">
      <c r="A30" s="1190" t="s">
        <v>889</v>
      </c>
      <c r="B30" s="1190">
        <v>38</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6</v>
      </c>
      <c r="F36" s="333">
        <v>97703</v>
      </c>
    </row>
    <row r="37" spans="1:6">
      <c r="A37" s="1194" t="s">
        <v>25</v>
      </c>
      <c r="B37" s="1194" t="s">
        <v>28</v>
      </c>
      <c r="C37" s="333">
        <v>0</v>
      </c>
      <c r="D37" s="333">
        <v>0</v>
      </c>
      <c r="E37" s="333">
        <v>0</v>
      </c>
      <c r="F37" s="333">
        <v>0</v>
      </c>
    </row>
    <row r="38" spans="1:6">
      <c r="A38" s="1194" t="s">
        <v>25</v>
      </c>
      <c r="B38" s="1194" t="s">
        <v>29</v>
      </c>
      <c r="C38" s="333">
        <v>1</v>
      </c>
      <c r="D38" s="333">
        <v>245700</v>
      </c>
      <c r="E38" s="333">
        <v>0</v>
      </c>
      <c r="F38" s="333">
        <v>0</v>
      </c>
    </row>
    <row r="39" spans="1:6">
      <c r="A39" s="1194" t="s">
        <v>30</v>
      </c>
      <c r="B39" s="1194" t="s">
        <v>31</v>
      </c>
      <c r="C39" s="333">
        <v>5363</v>
      </c>
      <c r="D39" s="333">
        <v>116947361</v>
      </c>
      <c r="E39" s="333">
        <v>12235</v>
      </c>
      <c r="F39" s="333">
        <v>51093060</v>
      </c>
    </row>
    <row r="40" spans="1:6">
      <c r="A40" s="1194" t="s">
        <v>30</v>
      </c>
      <c r="B40" s="1194" t="s">
        <v>29</v>
      </c>
      <c r="C40" s="333">
        <v>0</v>
      </c>
      <c r="D40" s="333">
        <v>0</v>
      </c>
      <c r="E40" s="333">
        <v>0</v>
      </c>
      <c r="F40" s="333">
        <v>0</v>
      </c>
    </row>
    <row r="41" spans="1:6">
      <c r="A41" s="1194" t="s">
        <v>32</v>
      </c>
      <c r="B41" s="1194" t="s">
        <v>33</v>
      </c>
      <c r="C41" s="333">
        <v>60</v>
      </c>
      <c r="D41" s="333">
        <v>4902180</v>
      </c>
      <c r="E41" s="333">
        <v>155</v>
      </c>
      <c r="F41" s="333">
        <v>10511249</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14</v>
      </c>
      <c r="D44" s="333">
        <v>11264761</v>
      </c>
      <c r="E44" s="333">
        <v>20</v>
      </c>
      <c r="F44" s="333">
        <v>3270918</v>
      </c>
    </row>
    <row r="45" spans="1:6">
      <c r="A45" s="1194" t="s">
        <v>32</v>
      </c>
      <c r="B45" s="1194" t="s">
        <v>37</v>
      </c>
      <c r="C45" s="333">
        <v>3</v>
      </c>
      <c r="D45" s="333">
        <v>536577</v>
      </c>
      <c r="E45" s="333">
        <v>7</v>
      </c>
      <c r="F45" s="333">
        <v>5164322</v>
      </c>
    </row>
    <row r="46" spans="1:6">
      <c r="A46" s="1194" t="s">
        <v>32</v>
      </c>
      <c r="B46" s="1194" t="s">
        <v>38</v>
      </c>
      <c r="C46" s="333">
        <v>0</v>
      </c>
      <c r="D46" s="333">
        <v>0</v>
      </c>
      <c r="E46" s="333">
        <v>0</v>
      </c>
      <c r="F46" s="333">
        <v>0</v>
      </c>
    </row>
    <row r="47" spans="1:6">
      <c r="A47" s="1194" t="s">
        <v>32</v>
      </c>
      <c r="B47" s="1194" t="s">
        <v>39</v>
      </c>
      <c r="C47" s="333">
        <v>0</v>
      </c>
      <c r="D47" s="333">
        <v>0</v>
      </c>
      <c r="E47" s="333">
        <v>3</v>
      </c>
      <c r="F47" s="333">
        <v>51616</v>
      </c>
    </row>
    <row r="48" spans="1:6">
      <c r="A48" s="1194" t="s">
        <v>32</v>
      </c>
      <c r="B48" s="1194" t="s">
        <v>29</v>
      </c>
      <c r="C48" s="333">
        <v>3</v>
      </c>
      <c r="D48" s="333">
        <v>5531734</v>
      </c>
      <c r="E48" s="333">
        <v>4</v>
      </c>
      <c r="F48" s="333">
        <v>15266830</v>
      </c>
    </row>
    <row r="49" spans="1:6">
      <c r="A49" s="1194" t="s">
        <v>32</v>
      </c>
      <c r="B49" s="1194" t="s">
        <v>40</v>
      </c>
      <c r="C49" s="333">
        <v>0</v>
      </c>
      <c r="D49" s="333">
        <v>0</v>
      </c>
      <c r="E49" s="333">
        <v>0</v>
      </c>
      <c r="F49" s="333">
        <v>0</v>
      </c>
    </row>
    <row r="50" spans="1:6">
      <c r="A50" s="1194" t="s">
        <v>32</v>
      </c>
      <c r="B50" s="1194" t="s">
        <v>41</v>
      </c>
      <c r="C50" s="333">
        <v>8</v>
      </c>
      <c r="D50" s="333">
        <v>1683888</v>
      </c>
      <c r="E50" s="333">
        <v>15</v>
      </c>
      <c r="F50" s="333">
        <v>6178105</v>
      </c>
    </row>
    <row r="51" spans="1:6">
      <c r="A51" s="1194" t="s">
        <v>42</v>
      </c>
      <c r="B51" s="1194" t="s">
        <v>43</v>
      </c>
      <c r="C51" s="333">
        <v>0</v>
      </c>
      <c r="D51" s="333">
        <v>0</v>
      </c>
      <c r="E51" s="333">
        <v>19</v>
      </c>
      <c r="F51" s="333">
        <v>3671150</v>
      </c>
    </row>
    <row r="52" spans="1:6">
      <c r="A52" s="1194" t="s">
        <v>42</v>
      </c>
      <c r="B52" s="1194" t="s">
        <v>29</v>
      </c>
      <c r="C52" s="333">
        <v>2</v>
      </c>
      <c r="D52" s="333">
        <v>486332</v>
      </c>
      <c r="E52" s="333">
        <v>0</v>
      </c>
      <c r="F52" s="333">
        <v>0</v>
      </c>
    </row>
    <row r="53" spans="1:6">
      <c r="A53" s="1194" t="s">
        <v>44</v>
      </c>
      <c r="B53" s="1194" t="s">
        <v>45</v>
      </c>
      <c r="C53" s="333">
        <v>0</v>
      </c>
      <c r="D53" s="333">
        <v>0</v>
      </c>
      <c r="E53" s="333">
        <v>0</v>
      </c>
      <c r="F53" s="333">
        <v>0</v>
      </c>
    </row>
    <row r="54" spans="1:6">
      <c r="A54" s="1194" t="s">
        <v>46</v>
      </c>
      <c r="B54" s="1194" t="s">
        <v>47</v>
      </c>
      <c r="C54" s="333">
        <v>0</v>
      </c>
      <c r="D54" s="333">
        <v>0</v>
      </c>
      <c r="E54" s="333">
        <v>137</v>
      </c>
      <c r="F54" s="333">
        <v>1868513</v>
      </c>
    </row>
    <row r="55" spans="1:6">
      <c r="A55" s="1194" t="s">
        <v>46</v>
      </c>
      <c r="B55" s="1194" t="s">
        <v>29</v>
      </c>
      <c r="C55" s="333">
        <v>0</v>
      </c>
      <c r="D55" s="333">
        <v>0</v>
      </c>
      <c r="E55" s="333">
        <v>0</v>
      </c>
      <c r="F55" s="333">
        <v>0</v>
      </c>
    </row>
    <row r="56" spans="1:6">
      <c r="A56" s="1194" t="s">
        <v>48</v>
      </c>
      <c r="B56" s="1194" t="s">
        <v>29</v>
      </c>
      <c r="C56" s="333">
        <v>79</v>
      </c>
      <c r="D56" s="333">
        <v>3614698</v>
      </c>
      <c r="E56" s="333">
        <v>277</v>
      </c>
      <c r="F56" s="333">
        <v>3328293</v>
      </c>
    </row>
    <row r="57" spans="1:6">
      <c r="A57" s="1194" t="s">
        <v>49</v>
      </c>
      <c r="B57" s="1194" t="s">
        <v>50</v>
      </c>
      <c r="C57" s="333">
        <v>49</v>
      </c>
      <c r="D57" s="333">
        <v>9987327</v>
      </c>
      <c r="E57" s="333">
        <v>142</v>
      </c>
      <c r="F57" s="333">
        <v>4100717</v>
      </c>
    </row>
    <row r="58" spans="1:6">
      <c r="A58" s="1194" t="s">
        <v>49</v>
      </c>
      <c r="B58" s="1194" t="s">
        <v>51</v>
      </c>
      <c r="C58" s="333">
        <v>26</v>
      </c>
      <c r="D58" s="333">
        <v>8968263</v>
      </c>
      <c r="E58" s="333">
        <v>45</v>
      </c>
      <c r="F58" s="333">
        <v>6205650</v>
      </c>
    </row>
    <row r="59" spans="1:6">
      <c r="A59" s="1194" t="s">
        <v>49</v>
      </c>
      <c r="B59" s="1194" t="s">
        <v>52</v>
      </c>
      <c r="C59" s="333">
        <v>140</v>
      </c>
      <c r="D59" s="333">
        <v>10063326</v>
      </c>
      <c r="E59" s="333">
        <v>300</v>
      </c>
      <c r="F59" s="333">
        <v>10737489</v>
      </c>
    </row>
    <row r="60" spans="1:6">
      <c r="A60" s="1194" t="s">
        <v>49</v>
      </c>
      <c r="B60" s="1194" t="s">
        <v>53</v>
      </c>
      <c r="C60" s="333">
        <v>66</v>
      </c>
      <c r="D60" s="333">
        <v>3616556</v>
      </c>
      <c r="E60" s="333">
        <v>110</v>
      </c>
      <c r="F60" s="333">
        <v>4017279</v>
      </c>
    </row>
    <row r="61" spans="1:6">
      <c r="A61" s="1194" t="s">
        <v>49</v>
      </c>
      <c r="B61" s="1194" t="s">
        <v>54</v>
      </c>
      <c r="C61" s="333">
        <v>151</v>
      </c>
      <c r="D61" s="333">
        <v>12078536</v>
      </c>
      <c r="E61" s="333">
        <v>437</v>
      </c>
      <c r="F61" s="333">
        <v>8528794</v>
      </c>
    </row>
    <row r="62" spans="1:6">
      <c r="A62" s="1194" t="s">
        <v>49</v>
      </c>
      <c r="B62" s="1194" t="s">
        <v>55</v>
      </c>
      <c r="C62" s="333">
        <v>6</v>
      </c>
      <c r="D62" s="333">
        <v>1116232</v>
      </c>
      <c r="E62" s="333">
        <v>14</v>
      </c>
      <c r="F62" s="333">
        <v>674062</v>
      </c>
    </row>
    <row r="63" spans="1:6">
      <c r="A63" s="1194" t="s">
        <v>49</v>
      </c>
      <c r="B63" s="1194" t="s">
        <v>29</v>
      </c>
      <c r="C63" s="333">
        <v>0</v>
      </c>
      <c r="D63" s="333">
        <v>0</v>
      </c>
      <c r="E63" s="333">
        <v>0</v>
      </c>
      <c r="F63" s="333">
        <v>0</v>
      </c>
    </row>
    <row r="64" spans="1:6">
      <c r="A64" s="1194" t="s">
        <v>56</v>
      </c>
      <c r="B64" s="1194" t="s">
        <v>57</v>
      </c>
      <c r="C64" s="333">
        <v>0</v>
      </c>
      <c r="D64" s="333">
        <v>0</v>
      </c>
      <c r="E64" s="333">
        <v>0</v>
      </c>
      <c r="F64" s="333">
        <v>0</v>
      </c>
    </row>
    <row r="65" spans="1:6">
      <c r="A65" s="1194" t="s">
        <v>56</v>
      </c>
      <c r="B65" s="1194" t="s">
        <v>29</v>
      </c>
      <c r="C65" s="333">
        <v>0</v>
      </c>
      <c r="D65" s="333">
        <v>0</v>
      </c>
      <c r="E65" s="333">
        <v>1</v>
      </c>
      <c r="F65" s="333">
        <v>8742</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5</v>
      </c>
      <c r="D68" s="333">
        <v>268735</v>
      </c>
      <c r="E68" s="333">
        <v>15</v>
      </c>
      <c r="F68" s="333">
        <v>348233</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73410241</v>
      </c>
      <c r="E73" s="333">
        <v>99438064.445308074</v>
      </c>
      <c r="F73" s="333">
        <v>81037696</v>
      </c>
    </row>
    <row r="74" spans="1:6">
      <c r="A74" s="1194" t="s">
        <v>64</v>
      </c>
      <c r="B74" s="1194" t="s">
        <v>775</v>
      </c>
      <c r="C74" s="1205" t="s">
        <v>776</v>
      </c>
      <c r="D74" s="333">
        <v>2321449.9374147877</v>
      </c>
      <c r="E74" s="333">
        <v>3344904.1203942411</v>
      </c>
      <c r="F74" s="333">
        <v>2839165.118482586</v>
      </c>
    </row>
    <row r="75" spans="1:6">
      <c r="A75" s="1194" t="s">
        <v>65</v>
      </c>
      <c r="B75" s="1194" t="s">
        <v>773</v>
      </c>
      <c r="C75" s="1205" t="s">
        <v>777</v>
      </c>
      <c r="D75" s="333">
        <v>49218826</v>
      </c>
      <c r="E75" s="333">
        <v>66469409.309763104</v>
      </c>
      <c r="F75" s="333">
        <v>54197267</v>
      </c>
    </row>
    <row r="76" spans="1:6">
      <c r="A76" s="1194" t="s">
        <v>65</v>
      </c>
      <c r="B76" s="1194" t="s">
        <v>775</v>
      </c>
      <c r="C76" s="1205" t="s">
        <v>778</v>
      </c>
      <c r="D76" s="333">
        <v>424938.93741478765</v>
      </c>
      <c r="E76" s="333">
        <v>920377.421682899</v>
      </c>
      <c r="F76" s="333">
        <v>637414.11848258576</v>
      </c>
    </row>
    <row r="77" spans="1:6">
      <c r="A77" s="1194" t="s">
        <v>66</v>
      </c>
      <c r="B77" s="1194" t="s">
        <v>773</v>
      </c>
      <c r="C77" s="1205" t="s">
        <v>779</v>
      </c>
      <c r="D77" s="333">
        <v>150774714</v>
      </c>
      <c r="E77" s="333">
        <v>180717925.55962238</v>
      </c>
      <c r="F77" s="333">
        <v>159836256</v>
      </c>
    </row>
    <row r="78" spans="1:6">
      <c r="A78" s="1190" t="s">
        <v>66</v>
      </c>
      <c r="B78" s="1190" t="s">
        <v>775</v>
      </c>
      <c r="C78" s="1190" t="s">
        <v>780</v>
      </c>
      <c r="D78" s="1190">
        <v>28877673</v>
      </c>
      <c r="E78" s="1190">
        <v>32481821.398927994</v>
      </c>
      <c r="F78" s="336">
        <v>29884275</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1003996.1251704247</v>
      </c>
      <c r="C83" s="333">
        <v>918038.65183222876</v>
      </c>
      <c r="D83" s="333">
        <v>933959.76303482847</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4160.6250122458114</v>
      </c>
    </row>
    <row r="92" spans="1:6">
      <c r="A92" s="1190" t="s">
        <v>69</v>
      </c>
      <c r="B92" s="336">
        <v>7556.4516278862975</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1923</v>
      </c>
    </row>
    <row r="98" spans="1:6">
      <c r="A98" s="1194" t="s">
        <v>72</v>
      </c>
      <c r="B98" s="333">
        <v>7</v>
      </c>
    </row>
    <row r="99" spans="1:6">
      <c r="A99" s="1194" t="s">
        <v>73</v>
      </c>
      <c r="B99" s="333">
        <v>53</v>
      </c>
    </row>
    <row r="100" spans="1:6">
      <c r="A100" s="1194" t="s">
        <v>74</v>
      </c>
      <c r="B100" s="333">
        <v>335</v>
      </c>
    </row>
    <row r="101" spans="1:6">
      <c r="A101" s="1194" t="s">
        <v>75</v>
      </c>
      <c r="B101" s="333">
        <v>65</v>
      </c>
    </row>
    <row r="102" spans="1:6">
      <c r="A102" s="1194" t="s">
        <v>76</v>
      </c>
      <c r="B102" s="333">
        <v>118</v>
      </c>
    </row>
    <row r="103" spans="1:6">
      <c r="A103" s="1194" t="s">
        <v>77</v>
      </c>
      <c r="B103" s="333">
        <v>185</v>
      </c>
    </row>
    <row r="104" spans="1:6">
      <c r="A104" s="1194" t="s">
        <v>78</v>
      </c>
      <c r="B104" s="333">
        <v>7729</v>
      </c>
    </row>
    <row r="105" spans="1:6">
      <c r="A105" s="1190" t="s">
        <v>79</v>
      </c>
      <c r="B105" s="1190">
        <v>1</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11</v>
      </c>
      <c r="C123" s="333">
        <v>63</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84</v>
      </c>
    </row>
    <row r="130" spans="1:6">
      <c r="A130" s="1194" t="s">
        <v>296</v>
      </c>
      <c r="B130" s="333">
        <v>1</v>
      </c>
    </row>
    <row r="131" spans="1:6">
      <c r="A131" s="1194" t="s">
        <v>297</v>
      </c>
      <c r="B131" s="333">
        <v>7</v>
      </c>
    </row>
    <row r="132" spans="1:6">
      <c r="A132" s="1190" t="s">
        <v>298</v>
      </c>
      <c r="B132" s="336">
        <v>15</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135502.56187577528</v>
      </c>
      <c r="C3" s="43" t="s">
        <v>171</v>
      </c>
      <c r="D3" s="43"/>
      <c r="E3" s="156"/>
      <c r="F3" s="43"/>
      <c r="G3" s="43"/>
      <c r="H3" s="43"/>
      <c r="I3" s="43"/>
      <c r="J3" s="43"/>
      <c r="K3" s="96"/>
    </row>
    <row r="4" spans="1:11">
      <c r="A4" s="364" t="s">
        <v>172</v>
      </c>
      <c r="B4" s="49">
        <f>IF(ISERROR('SEAP template'!B69),0,'SEAP template'!B69)</f>
        <v>11717.076640132109</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0.20188985254874259</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1868.5129999999999</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1868.5129999999999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0.20188985254874259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377.23381405540863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51093.06</v>
      </c>
      <c r="C5" s="17">
        <f>IF(ISERROR('Eigen informatie GS &amp; warmtenet'!B57),0,'Eigen informatie GS &amp; warmtenet'!B57)</f>
        <v>0</v>
      </c>
      <c r="D5" s="30">
        <f>(SUM(HH_hh_gas_kWh,HH_rest_gas_kWh)/1000)*0.902</f>
        <v>105486.51962200001</v>
      </c>
      <c r="E5" s="17">
        <f>B46*B57</f>
        <v>4490.7292716550955</v>
      </c>
      <c r="F5" s="17">
        <f>B51*B62</f>
        <v>105642.1564523259</v>
      </c>
      <c r="G5" s="18"/>
      <c r="H5" s="17"/>
      <c r="I5" s="17"/>
      <c r="J5" s="17">
        <f>B50*B61+C50*C61</f>
        <v>0</v>
      </c>
      <c r="K5" s="17"/>
      <c r="L5" s="17"/>
      <c r="M5" s="17"/>
      <c r="N5" s="17">
        <f>B48*B59+C48*C59</f>
        <v>15935.080505480157</v>
      </c>
      <c r="O5" s="17">
        <f>B69*B70*B71</f>
        <v>229.81</v>
      </c>
      <c r="P5" s="17">
        <f>B77*B78*B79/1000-B77*B78*B79/1000/B80</f>
        <v>495.73333333333335</v>
      </c>
    </row>
    <row r="6" spans="1:16">
      <c r="A6" s="16" t="s">
        <v>633</v>
      </c>
      <c r="B6" s="830">
        <f>kWh_PV_kleiner_dan_10kW</f>
        <v>4160.6250122458114</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55253.685012245813</v>
      </c>
      <c r="C8" s="21">
        <f>C5</f>
        <v>0</v>
      </c>
      <c r="D8" s="21">
        <f>D5</f>
        <v>105486.51962200001</v>
      </c>
      <c r="E8" s="21">
        <f>E5</f>
        <v>4490.7292716550955</v>
      </c>
      <c r="F8" s="21">
        <f>F5</f>
        <v>105642.1564523259</v>
      </c>
      <c r="G8" s="21"/>
      <c r="H8" s="21"/>
      <c r="I8" s="21"/>
      <c r="J8" s="21">
        <f>J5</f>
        <v>0</v>
      </c>
      <c r="K8" s="21"/>
      <c r="L8" s="21">
        <f>L5</f>
        <v>0</v>
      </c>
      <c r="M8" s="21">
        <f>M5</f>
        <v>0</v>
      </c>
      <c r="N8" s="21">
        <f>N5</f>
        <v>15935.080505480157</v>
      </c>
      <c r="O8" s="21">
        <f>O5</f>
        <v>229.81</v>
      </c>
      <c r="P8" s="21">
        <f>P5</f>
        <v>495.73333333333335</v>
      </c>
    </row>
    <row r="9" spans="1:16">
      <c r="B9" s="19"/>
      <c r="C9" s="19"/>
      <c r="D9" s="260"/>
      <c r="E9" s="19"/>
      <c r="F9" s="19"/>
      <c r="G9" s="19"/>
      <c r="H9" s="19"/>
      <c r="I9" s="19"/>
      <c r="J9" s="19"/>
      <c r="K9" s="19"/>
      <c r="L9" s="19"/>
      <c r="M9" s="19"/>
      <c r="N9" s="19"/>
      <c r="O9" s="19"/>
      <c r="P9" s="19"/>
    </row>
    <row r="10" spans="1:16">
      <c r="A10" s="24" t="s">
        <v>215</v>
      </c>
      <c r="B10" s="25">
        <f ca="1">'EF ele_warmte'!B12</f>
        <v>0.20188985254874259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11155.158319896975</v>
      </c>
      <c r="C12" s="23">
        <f ca="1">C10*C8</f>
        <v>0</v>
      </c>
      <c r="D12" s="23">
        <f>D8*D10</f>
        <v>21308.276963644003</v>
      </c>
      <c r="E12" s="23">
        <f>E10*E8</f>
        <v>1019.3955446657067</v>
      </c>
      <c r="F12" s="23">
        <f>F10*F8</f>
        <v>28206.455772771016</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1923</v>
      </c>
      <c r="C18" s="167" t="s">
        <v>111</v>
      </c>
      <c r="D18" s="229"/>
      <c r="E18" s="15"/>
    </row>
    <row r="19" spans="1:7">
      <c r="A19" s="172" t="s">
        <v>72</v>
      </c>
      <c r="B19" s="37">
        <f>aantalw2001_ander</f>
        <v>7</v>
      </c>
      <c r="C19" s="167" t="s">
        <v>111</v>
      </c>
      <c r="D19" s="230"/>
      <c r="E19" s="15"/>
    </row>
    <row r="20" spans="1:7">
      <c r="A20" s="172" t="s">
        <v>73</v>
      </c>
      <c r="B20" s="37">
        <f>aantalw2001_propaan</f>
        <v>53</v>
      </c>
      <c r="C20" s="168">
        <f>IF(ISERROR(B20/SUM($B$20,$B$21,$B$22)*100),0,B20/SUM($B$20,$B$21,$B$22)*100)</f>
        <v>11.699779249448124</v>
      </c>
      <c r="D20" s="230"/>
      <c r="E20" s="15"/>
    </row>
    <row r="21" spans="1:7">
      <c r="A21" s="172" t="s">
        <v>74</v>
      </c>
      <c r="B21" s="37">
        <f>aantalw2001_elektriciteit</f>
        <v>335</v>
      </c>
      <c r="C21" s="168">
        <f>IF(ISERROR(B21/SUM($B$20,$B$21,$B$22)*100),0,B21/SUM($B$20,$B$21,$B$22)*100)</f>
        <v>73.951434878587193</v>
      </c>
      <c r="D21" s="230"/>
      <c r="E21" s="15"/>
    </row>
    <row r="22" spans="1:7">
      <c r="A22" s="172" t="s">
        <v>75</v>
      </c>
      <c r="B22" s="37">
        <f>aantalw2001_hout</f>
        <v>65</v>
      </c>
      <c r="C22" s="168">
        <f>IF(ISERROR(B22/SUM($B$20,$B$21,$B$22)*100),0,B22/SUM($B$20,$B$21,$B$22)*100)</f>
        <v>14.348785871964681</v>
      </c>
      <c r="D22" s="230"/>
      <c r="E22" s="15"/>
    </row>
    <row r="23" spans="1:7">
      <c r="A23" s="172" t="s">
        <v>76</v>
      </c>
      <c r="B23" s="37">
        <f>aantalw2001_niet_gespec</f>
        <v>118</v>
      </c>
      <c r="C23" s="167" t="s">
        <v>111</v>
      </c>
      <c r="D23" s="229"/>
      <c r="E23" s="15"/>
    </row>
    <row r="24" spans="1:7">
      <c r="A24" s="172" t="s">
        <v>77</v>
      </c>
      <c r="B24" s="37">
        <f>aantalw2001_steenkool</f>
        <v>185</v>
      </c>
      <c r="C24" s="167" t="s">
        <v>111</v>
      </c>
      <c r="D24" s="230"/>
      <c r="E24" s="15"/>
    </row>
    <row r="25" spans="1:7">
      <c r="A25" s="172" t="s">
        <v>78</v>
      </c>
      <c r="B25" s="37">
        <f>aantalw2001_stookolie</f>
        <v>7729</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713</v>
      </c>
      <c r="B28" s="37">
        <f>aantalHuishoudens2011</f>
        <v>11888</v>
      </c>
      <c r="C28" s="36"/>
      <c r="D28" s="229"/>
    </row>
    <row r="29" spans="1:7" s="15" customFormat="1">
      <c r="A29" s="231" t="s">
        <v>714</v>
      </c>
      <c r="B29" s="37">
        <f>SUM(HH_hh_gas_aantal,HH_rest_gas_aantal)</f>
        <v>5363</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5363</v>
      </c>
      <c r="C32" s="168">
        <f>IF(ISERROR(B32/SUM($B$32,$B$34,$B$35,$B$36,$B$38,$B$39)*100),0,B32/SUM($B$32,$B$34,$B$35,$B$36,$B$38,$B$39)*100)</f>
        <v>45.211600067442255</v>
      </c>
      <c r="D32" s="234"/>
      <c r="G32" s="15"/>
    </row>
    <row r="33" spans="1:7">
      <c r="A33" s="172" t="s">
        <v>72</v>
      </c>
      <c r="B33" s="34" t="s">
        <v>111</v>
      </c>
      <c r="C33" s="168"/>
      <c r="D33" s="234"/>
      <c r="G33" s="15"/>
    </row>
    <row r="34" spans="1:7">
      <c r="A34" s="172" t="s">
        <v>73</v>
      </c>
      <c r="B34" s="33">
        <f>IF((($B$28-$B$32-$B$39-$B$77-$B$38)*C20/100)&lt;0,0,($B$28-$B$32-$B$39-$B$77-$B$38)*C20/100)</f>
        <v>218.31788079470201</v>
      </c>
      <c r="C34" s="168">
        <f>IF(ISERROR(B34/SUM($B$32,$B$34,$B$35,$B$36,$B$38,$B$39)*100),0,B34/SUM($B$32,$B$34,$B$35,$B$36,$B$38,$B$39)*100)</f>
        <v>1.8404812071716574</v>
      </c>
      <c r="D34" s="234"/>
      <c r="G34" s="15"/>
    </row>
    <row r="35" spans="1:7">
      <c r="A35" s="172" t="s">
        <v>74</v>
      </c>
      <c r="B35" s="33">
        <f>IF((($B$28-$B$32-$B$39-$B$77-$B$38)*C21/100)&lt;0,0,($B$28-$B$32-$B$39-$B$77-$B$38)*C21/100)</f>
        <v>1379.9337748344371</v>
      </c>
      <c r="C35" s="168">
        <f>IF(ISERROR(B35/SUM($B$32,$B$34,$B$35,$B$36,$B$38,$B$39)*100),0,B35/SUM($B$32,$B$34,$B$35,$B$36,$B$38,$B$39)*100)</f>
        <v>11.633230271745381</v>
      </c>
      <c r="D35" s="234"/>
      <c r="G35" s="15"/>
    </row>
    <row r="36" spans="1:7">
      <c r="A36" s="172" t="s">
        <v>75</v>
      </c>
      <c r="B36" s="33">
        <f>IF((($B$28-$B$32-$B$39-$B$77-$B$38)*C22/100)&lt;0,0,($B$28-$B$32-$B$39-$B$77-$B$38)*C22/100)</f>
        <v>267.74834437086093</v>
      </c>
      <c r="C36" s="168">
        <f>IF(ISERROR(B36/SUM($B$32,$B$34,$B$35,$B$36,$B$38,$B$39)*100),0,B36/SUM($B$32,$B$34,$B$35,$B$36,$B$38,$B$39)*100)</f>
        <v>2.2571939333237308</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4633</v>
      </c>
      <c r="C39" s="168">
        <f>IF(ISERROR(B39/SUM($B$32,$B$34,$B$35,$B$36,$B$38,$B$39)*100),0,B39/SUM($B$32,$B$34,$B$35,$B$36,$B$38,$B$39)*100)</f>
        <v>39.057494520316979</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5363</v>
      </c>
      <c r="C44" s="34" t="s">
        <v>111</v>
      </c>
      <c r="D44" s="175"/>
    </row>
    <row r="45" spans="1:7">
      <c r="A45" s="172" t="s">
        <v>72</v>
      </c>
      <c r="B45" s="33" t="str">
        <f t="shared" si="0"/>
        <v>-</v>
      </c>
      <c r="C45" s="34" t="s">
        <v>111</v>
      </c>
      <c r="D45" s="175"/>
    </row>
    <row r="46" spans="1:7">
      <c r="A46" s="172" t="s">
        <v>73</v>
      </c>
      <c r="B46" s="33">
        <f t="shared" si="0"/>
        <v>218.31788079470201</v>
      </c>
      <c r="C46" s="34" t="s">
        <v>111</v>
      </c>
      <c r="D46" s="175"/>
    </row>
    <row r="47" spans="1:7">
      <c r="A47" s="172" t="s">
        <v>74</v>
      </c>
      <c r="B47" s="33">
        <f t="shared" si="0"/>
        <v>1379.9337748344371</v>
      </c>
      <c r="C47" s="34" t="s">
        <v>111</v>
      </c>
      <c r="D47" s="175"/>
    </row>
    <row r="48" spans="1:7">
      <c r="A48" s="172" t="s">
        <v>75</v>
      </c>
      <c r="B48" s="33">
        <f t="shared" si="0"/>
        <v>267.74834437086093</v>
      </c>
      <c r="C48" s="33">
        <f>B48*10</f>
        <v>2677.4834437086092</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4633</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147</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26</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34263.990999999995</v>
      </c>
      <c r="C5" s="17">
        <f>IF(ISERROR('Eigen informatie GS &amp; warmtenet'!B58),0,'Eigen informatie GS &amp; warmtenet'!B58)</f>
        <v>0</v>
      </c>
      <c r="D5" s="30">
        <f>SUM(D6:D12)</f>
        <v>41338.876479999999</v>
      </c>
      <c r="E5" s="17">
        <f>SUM(E6:E12)</f>
        <v>608.37841020961798</v>
      </c>
      <c r="F5" s="17">
        <f>SUM(F6:F12)</f>
        <v>6751.8424556761138</v>
      </c>
      <c r="G5" s="18"/>
      <c r="H5" s="17"/>
      <c r="I5" s="17"/>
      <c r="J5" s="17">
        <f>SUM(J6:J12)</f>
        <v>0</v>
      </c>
      <c r="K5" s="17"/>
      <c r="L5" s="17"/>
      <c r="M5" s="17"/>
      <c r="N5" s="17">
        <f>SUM(N6:N12)</f>
        <v>1071.6924189547078</v>
      </c>
      <c r="O5" s="17">
        <f>B38*B39*B40</f>
        <v>1.5633333333333335</v>
      </c>
      <c r="P5" s="17">
        <f>B46*B47*B48/1000-B46*B47*B48/1000/B49</f>
        <v>133.46666666666667</v>
      </c>
      <c r="R5" s="32"/>
    </row>
    <row r="6" spans="1:18">
      <c r="A6" s="32" t="s">
        <v>54</v>
      </c>
      <c r="B6" s="37">
        <f>B26</f>
        <v>8528.7939999999999</v>
      </c>
      <c r="C6" s="33"/>
      <c r="D6" s="37">
        <f>IF(ISERROR(TER_kantoor_gas_kWh/1000),0,TER_kantoor_gas_kWh/1000)*0.902</f>
        <v>10894.839472</v>
      </c>
      <c r="E6" s="33">
        <f>$C$26*'E Balans VL '!I12/100/3.6*1000000</f>
        <v>298.54134011470023</v>
      </c>
      <c r="F6" s="33">
        <f>$C$26*('E Balans VL '!L12+'E Balans VL '!N12)/100/3.6*1000000</f>
        <v>1293.1482818128527</v>
      </c>
      <c r="G6" s="34"/>
      <c r="H6" s="33"/>
      <c r="I6" s="33"/>
      <c r="J6" s="33">
        <f>$C$26*('E Balans VL '!D12+'E Balans VL '!E12)/100/3.6*1000000</f>
        <v>0</v>
      </c>
      <c r="K6" s="33"/>
      <c r="L6" s="33"/>
      <c r="M6" s="33"/>
      <c r="N6" s="33">
        <f>$C$26*'E Balans VL '!Y12/100/3.6*1000000</f>
        <v>65.924908180944271</v>
      </c>
      <c r="O6" s="33"/>
      <c r="P6" s="33"/>
      <c r="R6" s="32"/>
    </row>
    <row r="7" spans="1:18">
      <c r="A7" s="32" t="s">
        <v>53</v>
      </c>
      <c r="B7" s="37">
        <f t="shared" ref="B7:B12" si="0">B27</f>
        <v>4017.279</v>
      </c>
      <c r="C7" s="33"/>
      <c r="D7" s="37">
        <f>IF(ISERROR(TER_horeca_gas_kWh/1000),0,TER_horeca_gas_kWh/1000)*0.902</f>
        <v>3262.1335120000003</v>
      </c>
      <c r="E7" s="33">
        <f>$C$27*'E Balans VL '!I9/100/3.6*1000000</f>
        <v>226.62795240150456</v>
      </c>
      <c r="F7" s="33">
        <f>$C$27*('E Balans VL '!L9+'E Balans VL '!N9)/100/3.6*1000000</f>
        <v>699.83223370743019</v>
      </c>
      <c r="G7" s="34"/>
      <c r="H7" s="33"/>
      <c r="I7" s="33"/>
      <c r="J7" s="33">
        <f>$C$27*('E Balans VL '!D9+'E Balans VL '!E9)/100/3.6*1000000</f>
        <v>0</v>
      </c>
      <c r="K7" s="33"/>
      <c r="L7" s="33"/>
      <c r="M7" s="33"/>
      <c r="N7" s="33">
        <f>$C$27*'E Balans VL '!Y9/100/3.6*1000000</f>
        <v>0</v>
      </c>
      <c r="O7" s="33"/>
      <c r="P7" s="33"/>
      <c r="R7" s="32"/>
    </row>
    <row r="8" spans="1:18">
      <c r="A8" s="6" t="s">
        <v>52</v>
      </c>
      <c r="B8" s="37">
        <f t="shared" si="0"/>
        <v>10737.489</v>
      </c>
      <c r="C8" s="33"/>
      <c r="D8" s="37">
        <f>IF(ISERROR(TER_handel_gas_kWh/1000),0,TER_handel_gas_kWh/1000)*0.902</f>
        <v>9077.1200520000002</v>
      </c>
      <c r="E8" s="33">
        <f>$C$28*'E Balans VL '!I13/100/3.6*1000000</f>
        <v>55.125177612939495</v>
      </c>
      <c r="F8" s="33">
        <f>$C$28*('E Balans VL '!L13+'E Balans VL '!N13)/100/3.6*1000000</f>
        <v>1655.5548925634178</v>
      </c>
      <c r="G8" s="34"/>
      <c r="H8" s="33"/>
      <c r="I8" s="33"/>
      <c r="J8" s="33">
        <f>$C$28*('E Balans VL '!D13+'E Balans VL '!E13)/100/3.6*1000000</f>
        <v>0</v>
      </c>
      <c r="K8" s="33"/>
      <c r="L8" s="33"/>
      <c r="M8" s="33"/>
      <c r="N8" s="33">
        <f>$C$28*'E Balans VL '!Y13/100/3.6*1000000</f>
        <v>5.0220546739955809</v>
      </c>
      <c r="O8" s="33"/>
      <c r="P8" s="33"/>
      <c r="R8" s="32"/>
    </row>
    <row r="9" spans="1:18">
      <c r="A9" s="32" t="s">
        <v>51</v>
      </c>
      <c r="B9" s="37">
        <f t="shared" si="0"/>
        <v>6205.65</v>
      </c>
      <c r="C9" s="33"/>
      <c r="D9" s="37">
        <f>IF(ISERROR(TER_gezond_gas_kWh/1000),0,TER_gezond_gas_kWh/1000)*0.902</f>
        <v>8089.3732260000006</v>
      </c>
      <c r="E9" s="33">
        <f>$C$29*'E Balans VL '!I10/100/3.6*1000000</f>
        <v>2.5721977299446412</v>
      </c>
      <c r="F9" s="33">
        <f>$C$29*('E Balans VL '!L10+'E Balans VL '!N10)/100/3.6*1000000</f>
        <v>1528.3625941069461</v>
      </c>
      <c r="G9" s="34"/>
      <c r="H9" s="33"/>
      <c r="I9" s="33"/>
      <c r="J9" s="33">
        <f>$C$29*('E Balans VL '!D10+'E Balans VL '!E10)/100/3.6*1000000</f>
        <v>0</v>
      </c>
      <c r="K9" s="33"/>
      <c r="L9" s="33"/>
      <c r="M9" s="33"/>
      <c r="N9" s="33">
        <f>$C$29*'E Balans VL '!Y10/100/3.6*1000000</f>
        <v>53.632175760187565</v>
      </c>
      <c r="O9" s="33"/>
      <c r="P9" s="33"/>
      <c r="R9" s="32"/>
    </row>
    <row r="10" spans="1:18">
      <c r="A10" s="32" t="s">
        <v>50</v>
      </c>
      <c r="B10" s="37">
        <f t="shared" si="0"/>
        <v>4100.7169999999996</v>
      </c>
      <c r="C10" s="33"/>
      <c r="D10" s="37">
        <f>IF(ISERROR(TER_ander_gas_kWh/1000),0,TER_ander_gas_kWh/1000)*0.902</f>
        <v>9008.5689540000003</v>
      </c>
      <c r="E10" s="33">
        <f>$C$30*'E Balans VL '!I14/100/3.6*1000000</f>
        <v>24.998072007749876</v>
      </c>
      <c r="F10" s="33">
        <f>$C$30*('E Balans VL '!L14+'E Balans VL '!N14)/100/3.6*1000000</f>
        <v>1087.1562501508688</v>
      </c>
      <c r="G10" s="34"/>
      <c r="H10" s="33"/>
      <c r="I10" s="33"/>
      <c r="J10" s="33">
        <f>$C$30*('E Balans VL '!D14+'E Balans VL '!E14)/100/3.6*1000000</f>
        <v>0</v>
      </c>
      <c r="K10" s="33"/>
      <c r="L10" s="33"/>
      <c r="M10" s="33"/>
      <c r="N10" s="33">
        <f>$C$30*'E Balans VL '!Y14/100/3.6*1000000</f>
        <v>945.12665852769783</v>
      </c>
      <c r="O10" s="33"/>
      <c r="P10" s="33"/>
      <c r="R10" s="32"/>
    </row>
    <row r="11" spans="1:18">
      <c r="A11" s="32" t="s">
        <v>55</v>
      </c>
      <c r="B11" s="37">
        <f t="shared" si="0"/>
        <v>674.06200000000001</v>
      </c>
      <c r="C11" s="33"/>
      <c r="D11" s="37">
        <f>IF(ISERROR(TER_onderwijs_gas_kWh/1000),0,TER_onderwijs_gas_kWh/1000)*0.902</f>
        <v>1006.841264</v>
      </c>
      <c r="E11" s="33">
        <f>$C$31*'E Balans VL '!I11/100/3.6*1000000</f>
        <v>0.51367034277913526</v>
      </c>
      <c r="F11" s="33">
        <f>$C$31*('E Balans VL '!L11+'E Balans VL '!N11)/100/3.6*1000000</f>
        <v>487.78820333459873</v>
      </c>
      <c r="G11" s="34"/>
      <c r="H11" s="33"/>
      <c r="I11" s="33"/>
      <c r="J11" s="33">
        <f>$C$31*('E Balans VL '!D11+'E Balans VL '!E11)/100/3.6*1000000</f>
        <v>0</v>
      </c>
      <c r="K11" s="33"/>
      <c r="L11" s="33"/>
      <c r="M11" s="33"/>
      <c r="N11" s="33">
        <f>$C$31*'E Balans VL '!Y11/100/3.6*1000000</f>
        <v>1.9866218118824799</v>
      </c>
      <c r="O11" s="33"/>
      <c r="P11" s="33"/>
      <c r="R11" s="32"/>
    </row>
    <row r="12" spans="1:18">
      <c r="A12" s="32" t="s">
        <v>261</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34263.990999999995</v>
      </c>
      <c r="C16" s="21">
        <f ca="1">C5+C13+C14</f>
        <v>0</v>
      </c>
      <c r="D16" s="21">
        <f t="shared" ref="D16:N16" ca="1" si="1">MAX((D5+D13+D14),0)</f>
        <v>41338.876479999999</v>
      </c>
      <c r="E16" s="21">
        <f t="shared" si="1"/>
        <v>608.37841020961798</v>
      </c>
      <c r="F16" s="21">
        <f t="shared" ca="1" si="1"/>
        <v>6751.8424556761138</v>
      </c>
      <c r="G16" s="21">
        <f t="shared" si="1"/>
        <v>0</v>
      </c>
      <c r="H16" s="21">
        <f t="shared" si="1"/>
        <v>0</v>
      </c>
      <c r="I16" s="21">
        <f t="shared" si="1"/>
        <v>0</v>
      </c>
      <c r="J16" s="21">
        <f t="shared" si="1"/>
        <v>0</v>
      </c>
      <c r="K16" s="21">
        <f t="shared" si="1"/>
        <v>0</v>
      </c>
      <c r="L16" s="21">
        <f t="shared" ca="1" si="1"/>
        <v>0</v>
      </c>
      <c r="M16" s="21">
        <f t="shared" si="1"/>
        <v>0</v>
      </c>
      <c r="N16" s="21">
        <f t="shared" ca="1" si="1"/>
        <v>1071.6924189547078</v>
      </c>
      <c r="O16" s="21">
        <f>O5</f>
        <v>1.5633333333333335</v>
      </c>
      <c r="P16" s="21">
        <f>P5</f>
        <v>133.46666666666667</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0.20188985254874259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6917.5520907214423</v>
      </c>
      <c r="C20" s="23">
        <f t="shared" ref="C20:P20" ca="1" si="2">C16*C18</f>
        <v>0</v>
      </c>
      <c r="D20" s="23">
        <f t="shared" ca="1" si="2"/>
        <v>8350.4530489600002</v>
      </c>
      <c r="E20" s="23">
        <f t="shared" si="2"/>
        <v>138.10189911758329</v>
      </c>
      <c r="F20" s="23">
        <f t="shared" ca="1" si="2"/>
        <v>1802.7419356655225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8528.7939999999999</v>
      </c>
      <c r="C26" s="39">
        <f>IF(ISERROR(B26*3.6/1000000/'E Balans VL '!Z12*100),0,B26*3.6/1000000/'E Balans VL '!Z12*100)</f>
        <v>0.17947432578979955</v>
      </c>
      <c r="D26" s="238" t="s">
        <v>720</v>
      </c>
      <c r="F26" s="6"/>
    </row>
    <row r="27" spans="1:18">
      <c r="A27" s="232" t="s">
        <v>53</v>
      </c>
      <c r="B27" s="33">
        <f>IF(ISERROR(TER_horeca_ele_kWh/1000),0,TER_horeca_ele_kWh/1000)</f>
        <v>4017.279</v>
      </c>
      <c r="C27" s="39">
        <f>IF(ISERROR(B27*3.6/1000000/'E Balans VL '!Z9*100),0,B27*3.6/1000000/'E Balans VL '!Z9*100)</f>
        <v>0.34013172448054813</v>
      </c>
      <c r="D27" s="238" t="s">
        <v>720</v>
      </c>
      <c r="F27" s="6"/>
    </row>
    <row r="28" spans="1:18">
      <c r="A28" s="172" t="s">
        <v>52</v>
      </c>
      <c r="B28" s="33">
        <f>IF(ISERROR(TER_handel_ele_kWh/1000),0,TER_handel_ele_kWh/1000)</f>
        <v>10737.489</v>
      </c>
      <c r="C28" s="39">
        <f>IF(ISERROR(B28*3.6/1000000/'E Balans VL '!Z13*100),0,B28*3.6/1000000/'E Balans VL '!Z13*100)</f>
        <v>0.29726589819526772</v>
      </c>
      <c r="D28" s="238" t="s">
        <v>720</v>
      </c>
      <c r="F28" s="6"/>
    </row>
    <row r="29" spans="1:18">
      <c r="A29" s="232" t="s">
        <v>51</v>
      </c>
      <c r="B29" s="33">
        <f>IF(ISERROR(TER_gezond_ele_kWh/1000),0,TER_gezond_ele_kWh/1000)</f>
        <v>6205.65</v>
      </c>
      <c r="C29" s="39">
        <f>IF(ISERROR(B29*3.6/1000000/'E Balans VL '!Z10*100),0,B29*3.6/1000000/'E Balans VL '!Z10*100)</f>
        <v>0.80666570234865109</v>
      </c>
      <c r="D29" s="238" t="s">
        <v>720</v>
      </c>
      <c r="F29" s="6"/>
    </row>
    <row r="30" spans="1:18">
      <c r="A30" s="232" t="s">
        <v>50</v>
      </c>
      <c r="B30" s="33">
        <f>IF(ISERROR(TER_ander_ele_kWh/1000),0,TER_ander_ele_kWh/1000)</f>
        <v>4100.7169999999996</v>
      </c>
      <c r="C30" s="39">
        <f>IF(ISERROR(B30*3.6/1000000/'E Balans VL '!Z14*100),0,B30*3.6/1000000/'E Balans VL '!Z14*100)</f>
        <v>0.31784317394768485</v>
      </c>
      <c r="D30" s="238" t="s">
        <v>720</v>
      </c>
      <c r="F30" s="6"/>
    </row>
    <row r="31" spans="1:18">
      <c r="A31" s="232" t="s">
        <v>55</v>
      </c>
      <c r="B31" s="33">
        <f>IF(ISERROR(TER_onderwijs_ele_kWh/1000),0,TER_onderwijs_ele_kWh/1000)</f>
        <v>674.06200000000001</v>
      </c>
      <c r="C31" s="39">
        <f>IF(ISERROR(B31*3.6/1000000/'E Balans VL '!Z11*100),0,B31*3.6/1000000/'E Balans VL '!Z11*100)</f>
        <v>0.12895954637341642</v>
      </c>
      <c r="D31" s="238" t="s">
        <v>720</v>
      </c>
    </row>
    <row r="32" spans="1:18">
      <c r="A32" s="232" t="s">
        <v>261</v>
      </c>
      <c r="B32" s="33">
        <f>IF(ISERROR(TER_rest_ele_kWh/1000),0,TER_rest_ele_kWh/1000)</f>
        <v>0</v>
      </c>
      <c r="C32" s="39">
        <f>IF(ISERROR(B32*3.6/1000000/'E Balans VL '!Z8*100),0,B32*3.6/1000000/'E Balans VL '!Z8*100)</f>
        <v>0</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1</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7</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40443.040000000001</v>
      </c>
      <c r="C5" s="17">
        <f>IF(ISERROR('Eigen informatie GS &amp; warmtenet'!B59),0,'Eigen informatie GS &amp; warmtenet'!B59)</f>
        <v>0</v>
      </c>
      <c r="D5" s="30">
        <f>SUM(D6:D15)</f>
        <v>21575.064280000002</v>
      </c>
      <c r="E5" s="17">
        <f>SUM(E6:E15)</f>
        <v>523.35938029773331</v>
      </c>
      <c r="F5" s="17">
        <f>SUM(F6:F15)</f>
        <v>13184.625477016769</v>
      </c>
      <c r="G5" s="18"/>
      <c r="H5" s="17"/>
      <c r="I5" s="17"/>
      <c r="J5" s="17">
        <f>SUM(J6:J15)</f>
        <v>226.01292018043827</v>
      </c>
      <c r="K5" s="17"/>
      <c r="L5" s="17"/>
      <c r="M5" s="17"/>
      <c r="N5" s="17">
        <f>SUM(N6:N15)</f>
        <v>1156.432318251987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3270.9180000000001</v>
      </c>
      <c r="C8" s="33"/>
      <c r="D8" s="37">
        <f>IF( ISERROR(IND_metaal_Gas_kWH/1000),0,IND_metaal_Gas_kWH/1000)*0.902</f>
        <v>10160.814422000001</v>
      </c>
      <c r="E8" s="33">
        <f>C30*'E Balans VL '!I18/100/3.6*1000000</f>
        <v>22.984019090679592</v>
      </c>
      <c r="F8" s="33">
        <f>C30*'E Balans VL '!L18/100/3.6*1000000+C30*'E Balans VL '!N18/100/3.6*1000000</f>
        <v>359.12765964609736</v>
      </c>
      <c r="G8" s="34"/>
      <c r="H8" s="33"/>
      <c r="I8" s="33"/>
      <c r="J8" s="40">
        <f>C30*'E Balans VL '!D18/100/3.6*1000000+C30*'E Balans VL '!E18/100/3.6*1000000</f>
        <v>67.486088449745438</v>
      </c>
      <c r="K8" s="33"/>
      <c r="L8" s="33"/>
      <c r="M8" s="33"/>
      <c r="N8" s="33">
        <f>C30*'E Balans VL '!Y18/100/3.6*1000000</f>
        <v>12.259636235261686</v>
      </c>
      <c r="O8" s="33"/>
      <c r="P8" s="33"/>
      <c r="R8" s="32"/>
    </row>
    <row r="9" spans="1:18">
      <c r="A9" s="6" t="s">
        <v>33</v>
      </c>
      <c r="B9" s="37">
        <f t="shared" si="0"/>
        <v>10511.249</v>
      </c>
      <c r="C9" s="33"/>
      <c r="D9" s="37">
        <f>IF( ISERROR(IND_andere_gas_kWh/1000),0,IND_andere_gas_kWh/1000)*0.902</f>
        <v>4421.7663600000005</v>
      </c>
      <c r="E9" s="33">
        <f>C31*'E Balans VL '!I19/100/3.6*1000000</f>
        <v>176.5493036461549</v>
      </c>
      <c r="F9" s="33">
        <f>C31*'E Balans VL '!L19/100/3.6*1000000+C31*'E Balans VL '!N19/100/3.6*1000000</f>
        <v>8217.0957921586505</v>
      </c>
      <c r="G9" s="34"/>
      <c r="H9" s="33"/>
      <c r="I9" s="33"/>
      <c r="J9" s="40">
        <f>C31*'E Balans VL '!D19/100/3.6*1000000+C31*'E Balans VL '!E19/100/3.6*1000000</f>
        <v>0.94802187295915319</v>
      </c>
      <c r="K9" s="33"/>
      <c r="L9" s="33"/>
      <c r="M9" s="33"/>
      <c r="N9" s="33">
        <f>C31*'E Balans VL '!Y19/100/3.6*1000000</f>
        <v>779.05218904376363</v>
      </c>
      <c r="O9" s="33"/>
      <c r="P9" s="33"/>
      <c r="R9" s="32"/>
    </row>
    <row r="10" spans="1:18">
      <c r="A10" s="6" t="s">
        <v>41</v>
      </c>
      <c r="B10" s="37">
        <f t="shared" si="0"/>
        <v>6178.1049999999996</v>
      </c>
      <c r="C10" s="33"/>
      <c r="D10" s="37">
        <f>IF( ISERROR(IND_voed_gas_kWh/1000),0,IND_voed_gas_kWh/1000)*0.902</f>
        <v>1518.866976</v>
      </c>
      <c r="E10" s="33">
        <f>C32*'E Balans VL '!I20/100/3.6*1000000</f>
        <v>56.366462708590674</v>
      </c>
      <c r="F10" s="33">
        <f>C32*'E Balans VL '!L20/100/3.6*1000000+C32*'E Balans VL '!N20/100/3.6*1000000</f>
        <v>996.72157631561231</v>
      </c>
      <c r="G10" s="34"/>
      <c r="H10" s="33"/>
      <c r="I10" s="33"/>
      <c r="J10" s="40">
        <f>C32*'E Balans VL '!D20/100/3.6*1000000+C32*'E Balans VL '!E20/100/3.6*1000000</f>
        <v>25.445486951705764</v>
      </c>
      <c r="K10" s="33"/>
      <c r="L10" s="33"/>
      <c r="M10" s="33"/>
      <c r="N10" s="33">
        <f>C32*'E Balans VL '!Y20/100/3.6*1000000</f>
        <v>90.380804577481626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5164.3220000000001</v>
      </c>
      <c r="C12" s="33"/>
      <c r="D12" s="37">
        <f>IF( ISERROR(IND_min_gas_kWh/1000),0,IND_min_gas_kWh/1000)*0.902</f>
        <v>483.99245400000001</v>
      </c>
      <c r="E12" s="33">
        <f>C34*'E Balans VL '!I22/100/3.6*1000000</f>
        <v>128.09197506034121</v>
      </c>
      <c r="F12" s="33">
        <f>C34*'E Balans VL '!L22/100/3.6*1000000+C34*'E Balans VL '!N22/100/3.6*1000000</f>
        <v>548.75866086383701</v>
      </c>
      <c r="G12" s="34"/>
      <c r="H12" s="33"/>
      <c r="I12" s="33"/>
      <c r="J12" s="40">
        <f>C34*'E Balans VL '!D22/100/3.6*1000000+C34*'E Balans VL '!E22/100/3.6*1000000</f>
        <v>29.336379188949305</v>
      </c>
      <c r="K12" s="33"/>
      <c r="L12" s="33"/>
      <c r="M12" s="33"/>
      <c r="N12" s="33">
        <f>C34*'E Balans VL '!Y22/100/3.6*1000000</f>
        <v>0</v>
      </c>
      <c r="O12" s="33"/>
      <c r="P12" s="33"/>
      <c r="R12" s="32"/>
    </row>
    <row r="13" spans="1:18">
      <c r="A13" s="6" t="s">
        <v>39</v>
      </c>
      <c r="B13" s="37">
        <f t="shared" si="0"/>
        <v>51.616</v>
      </c>
      <c r="C13" s="33"/>
      <c r="D13" s="37">
        <f>IF( ISERROR(IND_papier_gas_kWh/1000),0,IND_papier_gas_kWh/1000)*0.902</f>
        <v>0</v>
      </c>
      <c r="E13" s="33">
        <f>C35*'E Balans VL '!I23/100/3.6*1000000</f>
        <v>1.5880896142372325</v>
      </c>
      <c r="F13" s="33">
        <f>C35*'E Balans VL '!L23/100/3.6*1000000+C35*'E Balans VL '!N23/100/3.6*1000000</f>
        <v>10.959880672622898</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15266.83</v>
      </c>
      <c r="C15" s="33"/>
      <c r="D15" s="37">
        <f>IF( ISERROR(IND_rest_gas_kWh/1000),0,IND_rest_gas_kWh/1000)*0.902</f>
        <v>4989.6240680000001</v>
      </c>
      <c r="E15" s="33">
        <f>C37*'E Balans VL '!I15/100/3.6*1000000</f>
        <v>137.7795301777297</v>
      </c>
      <c r="F15" s="33">
        <f>C37*'E Balans VL '!L15/100/3.6*1000000+C37*'E Balans VL '!N15/100/3.6*1000000</f>
        <v>3051.9619073599474</v>
      </c>
      <c r="G15" s="34"/>
      <c r="H15" s="33"/>
      <c r="I15" s="33"/>
      <c r="J15" s="40">
        <f>C37*'E Balans VL '!D15/100/3.6*1000000+C37*'E Balans VL '!E15/100/3.6*1000000</f>
        <v>102.79694371707861</v>
      </c>
      <c r="K15" s="33"/>
      <c r="L15" s="33"/>
      <c r="M15" s="33"/>
      <c r="N15" s="33">
        <f>C37*'E Balans VL '!Y15/100/3.6*1000000</f>
        <v>274.73968839548007</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40443.040000000001</v>
      </c>
      <c r="C18" s="21">
        <f>C5+C16</f>
        <v>0</v>
      </c>
      <c r="D18" s="21">
        <f>MAX((D5+D16),0)</f>
        <v>21575.064280000002</v>
      </c>
      <c r="E18" s="21">
        <f>MAX((E5+E16),0)</f>
        <v>523.35938029773331</v>
      </c>
      <c r="F18" s="21">
        <f>MAX((F5+F16),0)</f>
        <v>13184.625477016769</v>
      </c>
      <c r="G18" s="21"/>
      <c r="H18" s="21"/>
      <c r="I18" s="21"/>
      <c r="J18" s="21">
        <f>MAX((J5+J16),0)</f>
        <v>226.01292018043827</v>
      </c>
      <c r="K18" s="21"/>
      <c r="L18" s="21">
        <f>MAX((L5+L16),0)</f>
        <v>0</v>
      </c>
      <c r="M18" s="21"/>
      <c r="N18" s="21">
        <f>MAX((N5+N16),0)</f>
        <v>1156.432318251987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0.20188985254874259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8165.0393822228989</v>
      </c>
      <c r="C22" s="23">
        <f ca="1">C18*C20</f>
        <v>0</v>
      </c>
      <c r="D22" s="23">
        <f>D18*D20</f>
        <v>4358.162984560001</v>
      </c>
      <c r="E22" s="23">
        <f>E18*E20</f>
        <v>118.80257932758546</v>
      </c>
      <c r="F22" s="23">
        <f>F18*F20</f>
        <v>3520.2950023634776</v>
      </c>
      <c r="G22" s="23"/>
      <c r="H22" s="23"/>
      <c r="I22" s="23"/>
      <c r="J22" s="23">
        <f>J18*J20</f>
        <v>80.008573743875147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3270.9180000000001</v>
      </c>
      <c r="C30" s="39">
        <f>IF(ISERROR(B30*3.6/1000000/'E Balans VL '!Z18*100),0,B30*3.6/1000000/'E Balans VL '!Z18*100)</f>
        <v>0.21774700864990856</v>
      </c>
      <c r="D30" s="238" t="s">
        <v>720</v>
      </c>
    </row>
    <row r="31" spans="1:18">
      <c r="A31" s="6" t="s">
        <v>33</v>
      </c>
      <c r="B31" s="37">
        <f>IF( ISERROR(IND_ander_ele_kWh/1000),0,IND_ander_ele_kWh/1000)</f>
        <v>10511.249</v>
      </c>
      <c r="C31" s="39">
        <f>IF(ISERROR(B31*3.6/1000000/'E Balans VL '!Z19*100),0,B31*3.6/1000000/'E Balans VL '!Z19*100)</f>
        <v>0.46592201264886712</v>
      </c>
      <c r="D31" s="238" t="s">
        <v>720</v>
      </c>
    </row>
    <row r="32" spans="1:18">
      <c r="A32" s="172" t="s">
        <v>41</v>
      </c>
      <c r="B32" s="37">
        <f>IF( ISERROR(IND_voed_ele_kWh/1000),0,IND_voed_ele_kWh/1000)</f>
        <v>6178.1049999999996</v>
      </c>
      <c r="C32" s="39">
        <f>IF(ISERROR(B32*3.6/1000000/'E Balans VL '!Z20*100),0,B32*3.6/1000000/'E Balans VL '!Z20*100)</f>
        <v>0.20636642968948071</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5164.3220000000001</v>
      </c>
      <c r="C34" s="39">
        <f>IF(ISERROR(B34*3.6/1000000/'E Balans VL '!Z22*100),0,B34*3.6/1000000/'E Balans VL '!Z22*100)</f>
        <v>1.0044039021473792</v>
      </c>
      <c r="D34" s="238" t="s">
        <v>720</v>
      </c>
    </row>
    <row r="35" spans="1:5">
      <c r="A35" s="172" t="s">
        <v>39</v>
      </c>
      <c r="B35" s="37">
        <f>IF( ISERROR(IND_papier_ele_kWh/1000),0,IND_papier_ele_kWh/1000)</f>
        <v>51.616</v>
      </c>
      <c r="C35" s="39">
        <f>IF(ISERROR(B35*3.6/1000000/'E Balans VL '!Z22*100),0,B35*3.6/1000000/'E Balans VL '!Z22*100)</f>
        <v>1.0038745030468497E-2</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15266.83</v>
      </c>
      <c r="C37" s="39">
        <f>IF(ISERROR(B37*3.6/1000000/'E Balans VL '!Z15*100),0,B37*3.6/1000000/'E Balans VL '!Z15*100)</f>
        <v>0.11356034340641558</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3671.15</v>
      </c>
      <c r="C5" s="17">
        <f>'Eigen informatie GS &amp; warmtenet'!B60</f>
        <v>0</v>
      </c>
      <c r="D5" s="30">
        <f>IF(ISERROR(SUM(LB_lb_gas_kWh,LB_rest_gas_kWh,onbekend_gas_kWh)/1000),0,SUM(LB_lb_gas_kWh,LB_rest_gas_kWh,onbekend_gas_kWh)/1000)*0.902</f>
        <v>438.67146400000001</v>
      </c>
      <c r="E5" s="17">
        <f>B17*'E Balans VL '!I25/3.6*1000000/100</f>
        <v>38.445077571564404</v>
      </c>
      <c r="F5" s="17">
        <f>B17*('E Balans VL '!L25/3.6*1000000+'E Balans VL '!N25/3.6*1000000)/100</f>
        <v>18855.610936169644</v>
      </c>
      <c r="G5" s="18"/>
      <c r="H5" s="17"/>
      <c r="I5" s="17"/>
      <c r="J5" s="17">
        <f>('E Balans VL '!D25+'E Balans VL '!E25)/3.6*1000000*landbouw!B17/100</f>
        <v>327.86660007879948</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3671.15</v>
      </c>
      <c r="C8" s="21">
        <f>C5+C6</f>
        <v>0</v>
      </c>
      <c r="D8" s="21">
        <f>MAX((D5+D6),0)</f>
        <v>438.67146400000001</v>
      </c>
      <c r="E8" s="21">
        <f>MAX((E5+E6),0)</f>
        <v>38.445077571564404</v>
      </c>
      <c r="F8" s="21">
        <f>MAX((F5+F6),0)</f>
        <v>18855.610936169644</v>
      </c>
      <c r="G8" s="21"/>
      <c r="H8" s="21"/>
      <c r="I8" s="21"/>
      <c r="J8" s="21">
        <f>MAX((J5+J6),0)</f>
        <v>327.86660007879948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0.20188985254874259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741.16793218431633</v>
      </c>
      <c r="C12" s="23">
        <f ca="1">C8*C10</f>
        <v>0</v>
      </c>
      <c r="D12" s="23">
        <f>D8*D10</f>
        <v>88.61163572800001</v>
      </c>
      <c r="E12" s="23">
        <f>E8*E10</f>
        <v>8.7270326087451195</v>
      </c>
      <c r="F12" s="23">
        <f>F8*F10</f>
        <v>5034.4481199572947</v>
      </c>
      <c r="G12" s="23"/>
      <c r="H12" s="23"/>
      <c r="I12" s="23"/>
      <c r="J12" s="23">
        <f>J8*J10</f>
        <v>116.06477642789501</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0.56506085129097983</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24.450229783885028</v>
      </c>
      <c r="C26" s="248">
        <f>B26*'GWP N2O_CH4'!B5</f>
        <v>513.45482546158564</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3.3918090238178369</v>
      </c>
      <c r="C27" s="248">
        <f>B27*'GWP N2O_CH4'!B5</f>
        <v>71.227989500174573</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0.33630945914020455</v>
      </c>
      <c r="C28" s="248">
        <f>B28*'GWP N2O_CH4'!B4</f>
        <v>104.25593233346341</v>
      </c>
      <c r="D28" s="50"/>
    </row>
    <row r="29" spans="1:4">
      <c r="A29" s="41" t="s">
        <v>278</v>
      </c>
      <c r="B29" s="248">
        <f>B34*'ha_N2O bodem landbouw'!B4</f>
        <v>7.7104824474981717</v>
      </c>
      <c r="C29" s="248">
        <f>B29*'GWP N2O_CH4'!B4</f>
        <v>2390.2495587244334</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1.2742584915872177E-3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7.8583087060830675E-6</v>
      </c>
      <c r="C5" s="446" t="s">
        <v>212</v>
      </c>
      <c r="D5" s="431">
        <f>SUM(D6:D11)</f>
        <v>3.9392521119639186E-5</v>
      </c>
      <c r="E5" s="431">
        <f>SUM(E6:E11)</f>
        <v>4.5069624865824581E-3</v>
      </c>
      <c r="F5" s="444" t="s">
        <v>212</v>
      </c>
      <c r="G5" s="431">
        <f>SUM(G6:G11)</f>
        <v>0.81049332511900074</v>
      </c>
      <c r="H5" s="431">
        <f>SUM(H6:H11)</f>
        <v>0.13475560933150219</v>
      </c>
      <c r="I5" s="446" t="s">
        <v>212</v>
      </c>
      <c r="J5" s="446" t="s">
        <v>212</v>
      </c>
      <c r="K5" s="446" t="s">
        <v>212</v>
      </c>
      <c r="L5" s="446" t="s">
        <v>212</v>
      </c>
      <c r="M5" s="431">
        <f>SUM(M6:M11)</f>
        <v>4.1233442745521078E-2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2.1099939944354903E-6</v>
      </c>
      <c r="C6" s="432"/>
      <c r="D6" s="432">
        <f>vkm_2011_GW_PW*SUMIFS(TableVerdeelsleutelVkm[CNG],TableVerdeelsleutelVkm[Voertuigtype],"Lichte voertuigen")*SUMIFS(TableECFTransport[EnergieConsumptieFactor (PJ per km)],TableECFTransport[Index],CONCATENATE($A6,"_CNG_CNG"))</f>
        <v>9.0959388445802848E-6</v>
      </c>
      <c r="E6" s="434">
        <f>vkm_2011_GW_PW*SUMIFS(TableVerdeelsleutelVkm[LPG],TableVerdeelsleutelVkm[Voertuigtype],"Lichte voertuigen")*SUMIFS(TableECFTransport[EnergieConsumptieFactor (PJ per km)],TableECFTransport[Index],CONCATENATE($A6,"_LPG_LPG"))</f>
        <v>9.4637662526920682E-4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0.1164069229758805</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3.0647530516547988E-2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6.4446311581056182E-3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2.1709536476628762E-2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7.4438992147373065E-6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9.3781129917276532E-4</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1.4146722018412306E-6</v>
      </c>
      <c r="C8" s="432"/>
      <c r="D8" s="434">
        <f>vkm_2011_NGW_PW*SUMIFS(TableVerdeelsleutelVkm[CNG],TableVerdeelsleutelVkm[Voertuigtype],"Lichte voertuigen")*SUMIFS(TableECFTransport[EnergieConsumptieFactor (PJ per km)],TableECFTransport[Index],CONCATENATE($A8,"_CNG_CNG"))</f>
        <v>1.094083497380733E-5</v>
      </c>
      <c r="E8" s="434">
        <f>vkm_2011_NGW_PW*SUMIFS(TableVerdeelsleutelVkm[LPG],TableVerdeelsleutelVkm[Voertuigtype],"Lichte voertuigen")*SUMIFS(TableECFTransport[EnergieConsumptieFactor (PJ per km)],TableECFTransport[Index],CONCATENATE($A8,"_LPG_LPG"))</f>
        <v>1.0393767496176488E-3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0.12125920360911313</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3.5188875304719043E-2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6.8642702415191072E-3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5.5218742569741177E-3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1.6448212755582266E-6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2.385231223320366E-4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4.333642509806346E-6</v>
      </c>
      <c r="C10" s="432"/>
      <c r="D10" s="434">
        <f>vkm_2011_SW_PW*SUMIFS(TableVerdeelsleutelVkm[CNG],TableVerdeelsleutelVkm[Voertuigtype],"Lichte voertuigen")*SUMIFS(TableECFTransport[EnergieConsumptieFactor (PJ per km)],TableECFTransport[Index],CONCATENATE($A10,"_CNG_CNG"))</f>
        <v>1.9355747301251574E-5</v>
      </c>
      <c r="E10" s="434">
        <f>vkm_2011_SW_PW*SUMIFS(TableVerdeelsleutelVkm[LPG],TableVerdeelsleutelVkm[Voertuigtype],"Lichte voertuigen")*SUMIFS(TableECFTransport[EnergieConsumptieFactor (PJ per km)],TableECFTransport[Index],CONCATENATE($A10,"_LPG_LPG"))</f>
        <v>2.5212091116956019E-3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0.2851018571508403</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6.8814814234916519E-2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1.5495080498072755E-2</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0.26049393064956394</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9.5300554828352165E-5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1.1253126426318793E-2</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2.1828635294675189</v>
      </c>
      <c r="C14" s="21"/>
      <c r="D14" s="21">
        <f t="shared" ref="D14:M14" si="0">((D5)*10^9/3600)+D12</f>
        <v>10.942366977677551</v>
      </c>
      <c r="E14" s="21">
        <f t="shared" si="0"/>
        <v>1251.9340240506829</v>
      </c>
      <c r="F14" s="21"/>
      <c r="G14" s="21">
        <f t="shared" si="0"/>
        <v>225137.034755278</v>
      </c>
      <c r="H14" s="21">
        <f t="shared" si="0"/>
        <v>37432.113703195057</v>
      </c>
      <c r="I14" s="21"/>
      <c r="J14" s="21"/>
      <c r="K14" s="21"/>
      <c r="L14" s="21"/>
      <c r="M14" s="21">
        <f t="shared" si="0"/>
        <v>11453.734095978076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0.20188985254874259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0.44069799609822524</v>
      </c>
      <c r="C18" s="23"/>
      <c r="D18" s="23">
        <f t="shared" ref="D18:M18" si="1">D14*D16</f>
        <v>2.2103581294908654</v>
      </c>
      <c r="E18" s="23">
        <f t="shared" si="1"/>
        <v>284.18902345950499</v>
      </c>
      <c r="F18" s="23"/>
      <c r="G18" s="23">
        <f t="shared" si="1"/>
        <v>60111.588279659227</v>
      </c>
      <c r="H18" s="23">
        <f t="shared" si="1"/>
        <v>9320.5963120955694</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1.3182855522441252E-2</v>
      </c>
      <c r="H50" s="322">
        <f t="shared" si="2"/>
        <v>0</v>
      </c>
      <c r="I50" s="322">
        <f t="shared" si="2"/>
        <v>0</v>
      </c>
      <c r="J50" s="322">
        <f t="shared" si="2"/>
        <v>0</v>
      </c>
      <c r="K50" s="322">
        <f t="shared" si="2"/>
        <v>0</v>
      </c>
      <c r="L50" s="322">
        <f t="shared" si="2"/>
        <v>0</v>
      </c>
      <c r="M50" s="322">
        <f t="shared" si="2"/>
        <v>5.6192785831476989E-4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1.3182855522441252E-2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5.6192785831476989E-4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3661.9043117892365</v>
      </c>
      <c r="H54" s="21">
        <f t="shared" si="3"/>
        <v>0</v>
      </c>
      <c r="I54" s="21">
        <f t="shared" si="3"/>
        <v>0</v>
      </c>
      <c r="J54" s="21">
        <f t="shared" si="3"/>
        <v>0</v>
      </c>
      <c r="K54" s="21">
        <f t="shared" si="3"/>
        <v>0</v>
      </c>
      <c r="L54" s="21">
        <f t="shared" si="3"/>
        <v>0</v>
      </c>
      <c r="M54" s="21">
        <f t="shared" si="3"/>
        <v>156.09107175410276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0.20188985254874259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977.72845124772618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11717.076640132109</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11717.076640132109</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36132.503999999994</v>
      </c>
      <c r="D10" s="702">
        <f ca="1">tertiair!C16</f>
        <v>0</v>
      </c>
      <c r="E10" s="702">
        <f ca="1">tertiair!D16</f>
        <v>41338.876479999999</v>
      </c>
      <c r="F10" s="702">
        <f>tertiair!E16</f>
        <v>608.37841020961798</v>
      </c>
      <c r="G10" s="702">
        <f ca="1">tertiair!F16</f>
        <v>6751.8424556761138</v>
      </c>
      <c r="H10" s="702">
        <f>tertiair!G16</f>
        <v>0</v>
      </c>
      <c r="I10" s="702">
        <f>tertiair!H16</f>
        <v>0</v>
      </c>
      <c r="J10" s="702">
        <f>tertiair!I16</f>
        <v>0</v>
      </c>
      <c r="K10" s="702">
        <f>tertiair!J16</f>
        <v>0</v>
      </c>
      <c r="L10" s="702">
        <f>tertiair!K16</f>
        <v>0</v>
      </c>
      <c r="M10" s="702">
        <f ca="1">tertiair!L16</f>
        <v>0</v>
      </c>
      <c r="N10" s="702">
        <f>tertiair!M16</f>
        <v>0</v>
      </c>
      <c r="O10" s="702">
        <f ca="1">tertiair!N16</f>
        <v>1071.6924189547078</v>
      </c>
      <c r="P10" s="702">
        <f>tertiair!O16</f>
        <v>1.5633333333333335</v>
      </c>
      <c r="Q10" s="703">
        <f>tertiair!P16</f>
        <v>133.46666666666667</v>
      </c>
      <c r="R10" s="705">
        <f ca="1">SUM(C10:Q10)</f>
        <v>86038.323764840447</v>
      </c>
      <c r="S10" s="67"/>
    </row>
    <row r="11" spans="1:19" s="457" customFormat="1">
      <c r="A11" s="858" t="s">
        <v>226</v>
      </c>
      <c r="B11" s="863"/>
      <c r="C11" s="702">
        <f>huishoudens!B8</f>
        <v>55253.685012245813</v>
      </c>
      <c r="D11" s="702">
        <f>huishoudens!C8</f>
        <v>0</v>
      </c>
      <c r="E11" s="702">
        <f>huishoudens!D8</f>
        <v>105486.51962200001</v>
      </c>
      <c r="F11" s="702">
        <f>huishoudens!E8</f>
        <v>4490.7292716550955</v>
      </c>
      <c r="G11" s="702">
        <f>huishoudens!F8</f>
        <v>105642.1564523259</v>
      </c>
      <c r="H11" s="702">
        <f>huishoudens!G8</f>
        <v>0</v>
      </c>
      <c r="I11" s="702">
        <f>huishoudens!H8</f>
        <v>0</v>
      </c>
      <c r="J11" s="702">
        <f>huishoudens!I8</f>
        <v>0</v>
      </c>
      <c r="K11" s="702">
        <f>huishoudens!J8</f>
        <v>0</v>
      </c>
      <c r="L11" s="702">
        <f>huishoudens!K8</f>
        <v>0</v>
      </c>
      <c r="M11" s="702">
        <f>huishoudens!L8</f>
        <v>0</v>
      </c>
      <c r="N11" s="702">
        <f>huishoudens!M8</f>
        <v>0</v>
      </c>
      <c r="O11" s="702">
        <f>huishoudens!N8</f>
        <v>15935.080505480157</v>
      </c>
      <c r="P11" s="702">
        <f>huishoudens!O8</f>
        <v>229.81</v>
      </c>
      <c r="Q11" s="703">
        <f>huishoudens!P8</f>
        <v>495.73333333333335</v>
      </c>
      <c r="R11" s="705">
        <f>SUM(C11:Q11)</f>
        <v>287533.7141970403</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40443.040000000001</v>
      </c>
      <c r="D13" s="702">
        <f>industrie!C18</f>
        <v>0</v>
      </c>
      <c r="E13" s="702">
        <f>industrie!D18</f>
        <v>21575.064280000002</v>
      </c>
      <c r="F13" s="702">
        <f>industrie!E18</f>
        <v>523.35938029773331</v>
      </c>
      <c r="G13" s="702">
        <f>industrie!F18</f>
        <v>13184.625477016769</v>
      </c>
      <c r="H13" s="702">
        <f>industrie!G18</f>
        <v>0</v>
      </c>
      <c r="I13" s="702">
        <f>industrie!H18</f>
        <v>0</v>
      </c>
      <c r="J13" s="702">
        <f>industrie!I18</f>
        <v>0</v>
      </c>
      <c r="K13" s="702">
        <f>industrie!J18</f>
        <v>226.01292018043827</v>
      </c>
      <c r="L13" s="702">
        <f>industrie!K18</f>
        <v>0</v>
      </c>
      <c r="M13" s="702">
        <f>industrie!L18</f>
        <v>0</v>
      </c>
      <c r="N13" s="702">
        <f>industrie!M18</f>
        <v>0</v>
      </c>
      <c r="O13" s="702">
        <f>industrie!N18</f>
        <v>1156.432318251987</v>
      </c>
      <c r="P13" s="702">
        <f>industrie!O18</f>
        <v>0</v>
      </c>
      <c r="Q13" s="703">
        <f>industrie!P18</f>
        <v>0</v>
      </c>
      <c r="R13" s="705">
        <f>SUM(C13:Q13)</f>
        <v>77108.534375746924</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131829.22901224581</v>
      </c>
      <c r="D15" s="707">
        <f t="shared" ref="D15:Q15" ca="1" si="0">SUM(D9:D14)</f>
        <v>0</v>
      </c>
      <c r="E15" s="707">
        <f t="shared" ca="1" si="0"/>
        <v>168400.46038199999</v>
      </c>
      <c r="F15" s="707">
        <f t="shared" si="0"/>
        <v>5622.4670621624464</v>
      </c>
      <c r="G15" s="707">
        <f t="shared" ca="1" si="0"/>
        <v>125578.62438501879</v>
      </c>
      <c r="H15" s="707">
        <f t="shared" si="0"/>
        <v>0</v>
      </c>
      <c r="I15" s="707">
        <f t="shared" si="0"/>
        <v>0</v>
      </c>
      <c r="J15" s="707">
        <f t="shared" si="0"/>
        <v>0</v>
      </c>
      <c r="K15" s="707">
        <f t="shared" si="0"/>
        <v>226.01292018043827</v>
      </c>
      <c r="L15" s="707">
        <f t="shared" si="0"/>
        <v>0</v>
      </c>
      <c r="M15" s="707">
        <f t="shared" ca="1" si="0"/>
        <v>0</v>
      </c>
      <c r="N15" s="707">
        <f t="shared" si="0"/>
        <v>0</v>
      </c>
      <c r="O15" s="707">
        <f t="shared" ca="1" si="0"/>
        <v>18163.20524268685</v>
      </c>
      <c r="P15" s="707">
        <f t="shared" si="0"/>
        <v>231.37333333333333</v>
      </c>
      <c r="Q15" s="708">
        <f t="shared" si="0"/>
        <v>629.20000000000005</v>
      </c>
      <c r="R15" s="709">
        <f ca="1">SUM(R9:R14)</f>
        <v>450680.57233762764</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3661.9043117892365</v>
      </c>
      <c r="I18" s="702">
        <f>transport!H54</f>
        <v>0</v>
      </c>
      <c r="J18" s="702">
        <f>transport!I54</f>
        <v>0</v>
      </c>
      <c r="K18" s="702">
        <f>transport!J54</f>
        <v>0</v>
      </c>
      <c r="L18" s="702">
        <f>transport!K54</f>
        <v>0</v>
      </c>
      <c r="M18" s="702">
        <f>transport!L54</f>
        <v>0</v>
      </c>
      <c r="N18" s="702">
        <f>transport!M54</f>
        <v>156.09107175410276</v>
      </c>
      <c r="O18" s="702">
        <f>transport!N54</f>
        <v>0</v>
      </c>
      <c r="P18" s="702">
        <f>transport!O54</f>
        <v>0</v>
      </c>
      <c r="Q18" s="703">
        <f>transport!P54</f>
        <v>0</v>
      </c>
      <c r="R18" s="705">
        <f>SUM(C18:Q18)</f>
        <v>3817.9953835433394</v>
      </c>
      <c r="S18" s="67"/>
    </row>
    <row r="19" spans="1:19" s="457" customFormat="1" ht="15" thickBot="1">
      <c r="A19" s="858" t="s">
        <v>308</v>
      </c>
      <c r="B19" s="863"/>
      <c r="C19" s="711">
        <f>transport!B14</f>
        <v>2.1828635294675189</v>
      </c>
      <c r="D19" s="711">
        <f>transport!C14</f>
        <v>0</v>
      </c>
      <c r="E19" s="711">
        <f>transport!D14</f>
        <v>10.942366977677551</v>
      </c>
      <c r="F19" s="711">
        <f>transport!E14</f>
        <v>1251.9340240506829</v>
      </c>
      <c r="G19" s="711">
        <f>transport!F14</f>
        <v>0</v>
      </c>
      <c r="H19" s="711">
        <f>transport!G14</f>
        <v>225137.034755278</v>
      </c>
      <c r="I19" s="711">
        <f>transport!H14</f>
        <v>37432.113703195057</v>
      </c>
      <c r="J19" s="711">
        <f>transport!I14</f>
        <v>0</v>
      </c>
      <c r="K19" s="711">
        <f>transport!J14</f>
        <v>0</v>
      </c>
      <c r="L19" s="711">
        <f>transport!K14</f>
        <v>0</v>
      </c>
      <c r="M19" s="711">
        <f>transport!L14</f>
        <v>0</v>
      </c>
      <c r="N19" s="711">
        <f>transport!M14</f>
        <v>11453.734095978076</v>
      </c>
      <c r="O19" s="711">
        <f>transport!N14</f>
        <v>0</v>
      </c>
      <c r="P19" s="711">
        <f>transport!O14</f>
        <v>0</v>
      </c>
      <c r="Q19" s="712">
        <f>transport!P14</f>
        <v>0</v>
      </c>
      <c r="R19" s="713">
        <f>SUM(C19:Q19)</f>
        <v>275287.94180900895</v>
      </c>
      <c r="S19" s="67"/>
    </row>
    <row r="20" spans="1:19" s="457" customFormat="1" ht="15.75" thickBot="1">
      <c r="A20" s="714" t="s">
        <v>231</v>
      </c>
      <c r="B20" s="866"/>
      <c r="C20" s="861">
        <f>SUM(C17:C19)</f>
        <v>2.1828635294675189</v>
      </c>
      <c r="D20" s="715">
        <f t="shared" ref="D20:R20" si="1">SUM(D17:D19)</f>
        <v>0</v>
      </c>
      <c r="E20" s="715">
        <f t="shared" si="1"/>
        <v>10.942366977677551</v>
      </c>
      <c r="F20" s="715">
        <f t="shared" si="1"/>
        <v>1251.9340240506829</v>
      </c>
      <c r="G20" s="715">
        <f t="shared" si="1"/>
        <v>0</v>
      </c>
      <c r="H20" s="715">
        <f t="shared" si="1"/>
        <v>228798.93906706723</v>
      </c>
      <c r="I20" s="715">
        <f t="shared" si="1"/>
        <v>37432.113703195057</v>
      </c>
      <c r="J20" s="715">
        <f t="shared" si="1"/>
        <v>0</v>
      </c>
      <c r="K20" s="715">
        <f t="shared" si="1"/>
        <v>0</v>
      </c>
      <c r="L20" s="715">
        <f t="shared" si="1"/>
        <v>0</v>
      </c>
      <c r="M20" s="715">
        <f t="shared" si="1"/>
        <v>0</v>
      </c>
      <c r="N20" s="715">
        <f t="shared" si="1"/>
        <v>11609.825167732179</v>
      </c>
      <c r="O20" s="715">
        <f t="shared" si="1"/>
        <v>0</v>
      </c>
      <c r="P20" s="715">
        <f t="shared" si="1"/>
        <v>0</v>
      </c>
      <c r="Q20" s="716">
        <f t="shared" si="1"/>
        <v>0</v>
      </c>
      <c r="R20" s="717">
        <f t="shared" si="1"/>
        <v>279105.93719255226</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3671.15</v>
      </c>
      <c r="D22" s="711">
        <f>+landbouw!C8</f>
        <v>0</v>
      </c>
      <c r="E22" s="711">
        <f>+landbouw!D8</f>
        <v>438.67146400000001</v>
      </c>
      <c r="F22" s="711">
        <f>+landbouw!E8</f>
        <v>38.445077571564404</v>
      </c>
      <c r="G22" s="711">
        <f>+landbouw!F8</f>
        <v>18855.610936169644</v>
      </c>
      <c r="H22" s="711">
        <f>+landbouw!G8</f>
        <v>0</v>
      </c>
      <c r="I22" s="711">
        <f>+landbouw!H8</f>
        <v>0</v>
      </c>
      <c r="J22" s="711">
        <f>+landbouw!I8</f>
        <v>0</v>
      </c>
      <c r="K22" s="711">
        <f>+landbouw!J8</f>
        <v>327.86660007879948</v>
      </c>
      <c r="L22" s="711">
        <f>+landbouw!K8</f>
        <v>0</v>
      </c>
      <c r="M22" s="711">
        <f>+landbouw!L8</f>
        <v>0</v>
      </c>
      <c r="N22" s="711">
        <f>+landbouw!M8</f>
        <v>0</v>
      </c>
      <c r="O22" s="711">
        <f>+landbouw!N8</f>
        <v>0</v>
      </c>
      <c r="P22" s="711">
        <f>+landbouw!O8</f>
        <v>0</v>
      </c>
      <c r="Q22" s="712">
        <f>+landbouw!P8</f>
        <v>0</v>
      </c>
      <c r="R22" s="713">
        <f>SUM(C22:Q22)</f>
        <v>23331.744077820007</v>
      </c>
      <c r="S22" s="67"/>
    </row>
    <row r="23" spans="1:19" s="457" customFormat="1" ht="17.25" thickTop="1" thickBot="1">
      <c r="A23" s="718" t="s">
        <v>116</v>
      </c>
      <c r="B23" s="852"/>
      <c r="C23" s="719">
        <f ca="1">C20+C15+C22</f>
        <v>135502.56187577528</v>
      </c>
      <c r="D23" s="719">
        <f t="shared" ref="D23:Q23" ca="1" si="2">D20+D15+D22</f>
        <v>0</v>
      </c>
      <c r="E23" s="719">
        <f t="shared" ca="1" si="2"/>
        <v>168850.07421297769</v>
      </c>
      <c r="F23" s="719">
        <f t="shared" si="2"/>
        <v>6912.8461637846931</v>
      </c>
      <c r="G23" s="719">
        <f t="shared" ca="1" si="2"/>
        <v>144434.23532118843</v>
      </c>
      <c r="H23" s="719">
        <f t="shared" si="2"/>
        <v>228798.93906706723</v>
      </c>
      <c r="I23" s="719">
        <f t="shared" si="2"/>
        <v>37432.113703195057</v>
      </c>
      <c r="J23" s="719">
        <f t="shared" si="2"/>
        <v>0</v>
      </c>
      <c r="K23" s="719">
        <f t="shared" si="2"/>
        <v>553.87952025923778</v>
      </c>
      <c r="L23" s="719">
        <f t="shared" si="2"/>
        <v>0</v>
      </c>
      <c r="M23" s="719">
        <f t="shared" ca="1" si="2"/>
        <v>0</v>
      </c>
      <c r="N23" s="719">
        <f t="shared" si="2"/>
        <v>11609.825167732179</v>
      </c>
      <c r="O23" s="719">
        <f t="shared" ca="1" si="2"/>
        <v>18163.20524268685</v>
      </c>
      <c r="P23" s="719">
        <f t="shared" si="2"/>
        <v>231.37333333333333</v>
      </c>
      <c r="Q23" s="720">
        <f t="shared" si="2"/>
        <v>629.20000000000005</v>
      </c>
      <c r="R23" s="721">
        <f ca="1">R20+R15+R22</f>
        <v>753118.25360799988</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7294.7859047768507</v>
      </c>
      <c r="D36" s="702">
        <f ca="1">tertiair!C20</f>
        <v>0</v>
      </c>
      <c r="E36" s="702">
        <f ca="1">tertiair!D20</f>
        <v>8350.4530489600002</v>
      </c>
      <c r="F36" s="702">
        <f>tertiair!E20</f>
        <v>138.10189911758329</v>
      </c>
      <c r="G36" s="702">
        <f ca="1">tertiair!F20</f>
        <v>1802.7419356655225</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17586.082788519954</v>
      </c>
    </row>
    <row r="37" spans="1:18">
      <c r="A37" s="873" t="s">
        <v>226</v>
      </c>
      <c r="B37" s="880"/>
      <c r="C37" s="702">
        <f ca="1">huishoudens!B12</f>
        <v>11155.158319896975</v>
      </c>
      <c r="D37" s="702">
        <f ca="1">huishoudens!C12</f>
        <v>0</v>
      </c>
      <c r="E37" s="702">
        <f>huishoudens!D12</f>
        <v>21308.276963644003</v>
      </c>
      <c r="F37" s="702">
        <f>huishoudens!E12</f>
        <v>1019.3955446657067</v>
      </c>
      <c r="G37" s="702">
        <f>huishoudens!F12</f>
        <v>28206.455772771016</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61689.286600977706</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8165.0393822228989</v>
      </c>
      <c r="D39" s="702">
        <f ca="1">industrie!C22</f>
        <v>0</v>
      </c>
      <c r="E39" s="702">
        <f>industrie!D22</f>
        <v>4358.162984560001</v>
      </c>
      <c r="F39" s="702">
        <f>industrie!E22</f>
        <v>118.80257932758546</v>
      </c>
      <c r="G39" s="702">
        <f>industrie!F22</f>
        <v>3520.2950023634776</v>
      </c>
      <c r="H39" s="702">
        <f>industrie!G22</f>
        <v>0</v>
      </c>
      <c r="I39" s="702">
        <f>industrie!H22</f>
        <v>0</v>
      </c>
      <c r="J39" s="702">
        <f>industrie!I22</f>
        <v>0</v>
      </c>
      <c r="K39" s="702">
        <f>industrie!J22</f>
        <v>80.008573743875147</v>
      </c>
      <c r="L39" s="702">
        <f>industrie!K22</f>
        <v>0</v>
      </c>
      <c r="M39" s="702">
        <f>industrie!L22</f>
        <v>0</v>
      </c>
      <c r="N39" s="702">
        <f>industrie!M22</f>
        <v>0</v>
      </c>
      <c r="O39" s="702">
        <f>industrie!N22</f>
        <v>0</v>
      </c>
      <c r="P39" s="702">
        <f>industrie!O22</f>
        <v>0</v>
      </c>
      <c r="Q39" s="812">
        <f>industrie!P22</f>
        <v>0</v>
      </c>
      <c r="R39" s="906">
        <f ca="1">SUM(C39:Q39)</f>
        <v>16242.308522217838</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26614.983606896723</v>
      </c>
      <c r="D41" s="747">
        <f t="shared" ref="D41:R41" ca="1" si="4">SUM(D35:D40)</f>
        <v>0</v>
      </c>
      <c r="E41" s="747">
        <f t="shared" ca="1" si="4"/>
        <v>34016.892997164003</v>
      </c>
      <c r="F41" s="747">
        <f t="shared" si="4"/>
        <v>1276.3000231108754</v>
      </c>
      <c r="G41" s="747">
        <f t="shared" ca="1" si="4"/>
        <v>33529.492710800019</v>
      </c>
      <c r="H41" s="747">
        <f t="shared" si="4"/>
        <v>0</v>
      </c>
      <c r="I41" s="747">
        <f t="shared" si="4"/>
        <v>0</v>
      </c>
      <c r="J41" s="747">
        <f t="shared" si="4"/>
        <v>0</v>
      </c>
      <c r="K41" s="747">
        <f t="shared" si="4"/>
        <v>80.008573743875147</v>
      </c>
      <c r="L41" s="747">
        <f t="shared" si="4"/>
        <v>0</v>
      </c>
      <c r="M41" s="747">
        <f t="shared" ca="1" si="4"/>
        <v>0</v>
      </c>
      <c r="N41" s="747">
        <f t="shared" si="4"/>
        <v>0</v>
      </c>
      <c r="O41" s="747">
        <f t="shared" ca="1" si="4"/>
        <v>0</v>
      </c>
      <c r="P41" s="747">
        <f t="shared" si="4"/>
        <v>0</v>
      </c>
      <c r="Q41" s="748">
        <f t="shared" si="4"/>
        <v>0</v>
      </c>
      <c r="R41" s="749">
        <f t="shared" ca="1" si="4"/>
        <v>95517.677911715495</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977.72845124772618</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977.72845124772618</v>
      </c>
    </row>
    <row r="45" spans="1:18" ht="15" thickBot="1">
      <c r="A45" s="876" t="s">
        <v>308</v>
      </c>
      <c r="B45" s="886"/>
      <c r="C45" s="711">
        <f ca="1">transport!B18</f>
        <v>0.44069799609822524</v>
      </c>
      <c r="D45" s="711">
        <f>transport!C18</f>
        <v>0</v>
      </c>
      <c r="E45" s="711">
        <f>transport!D18</f>
        <v>2.2103581294908654</v>
      </c>
      <c r="F45" s="711">
        <f>transport!E18</f>
        <v>284.18902345950499</v>
      </c>
      <c r="G45" s="711">
        <f>transport!F18</f>
        <v>0</v>
      </c>
      <c r="H45" s="711">
        <f>transport!G18</f>
        <v>60111.588279659227</v>
      </c>
      <c r="I45" s="711">
        <f>transport!H18</f>
        <v>9320.5963120955694</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69719.024671339896</v>
      </c>
    </row>
    <row r="46" spans="1:18" ht="15.75" thickBot="1">
      <c r="A46" s="874" t="s">
        <v>231</v>
      </c>
      <c r="B46" s="887"/>
      <c r="C46" s="747">
        <f t="shared" ref="C46:R46" ca="1" si="5">SUM(C43:C45)</f>
        <v>0.44069799609822524</v>
      </c>
      <c r="D46" s="747">
        <f t="shared" ca="1" si="5"/>
        <v>0</v>
      </c>
      <c r="E46" s="747">
        <f t="shared" si="5"/>
        <v>2.2103581294908654</v>
      </c>
      <c r="F46" s="747">
        <f t="shared" si="5"/>
        <v>284.18902345950499</v>
      </c>
      <c r="G46" s="747">
        <f t="shared" si="5"/>
        <v>0</v>
      </c>
      <c r="H46" s="747">
        <f t="shared" si="5"/>
        <v>61089.316730906954</v>
      </c>
      <c r="I46" s="747">
        <f t="shared" si="5"/>
        <v>9320.5963120955694</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70696.753122587616</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741.16793218431633</v>
      </c>
      <c r="D48" s="702">
        <f ca="1">+landbouw!C12</f>
        <v>0</v>
      </c>
      <c r="E48" s="702">
        <f>+landbouw!D12</f>
        <v>88.61163572800001</v>
      </c>
      <c r="F48" s="702">
        <f>+landbouw!E12</f>
        <v>8.7270326087451195</v>
      </c>
      <c r="G48" s="702">
        <f>+landbouw!F12</f>
        <v>5034.4481199572947</v>
      </c>
      <c r="H48" s="702">
        <f>+landbouw!G12</f>
        <v>0</v>
      </c>
      <c r="I48" s="702">
        <f>+landbouw!H12</f>
        <v>0</v>
      </c>
      <c r="J48" s="702">
        <f>+landbouw!I12</f>
        <v>0</v>
      </c>
      <c r="K48" s="702">
        <f>+landbouw!J12</f>
        <v>116.06477642789501</v>
      </c>
      <c r="L48" s="702">
        <f>+landbouw!K12</f>
        <v>0</v>
      </c>
      <c r="M48" s="702">
        <f>+landbouw!L12</f>
        <v>0</v>
      </c>
      <c r="N48" s="702">
        <f>+landbouw!M12</f>
        <v>0</v>
      </c>
      <c r="O48" s="702">
        <f>+landbouw!N12</f>
        <v>0</v>
      </c>
      <c r="P48" s="702">
        <f>+landbouw!O12</f>
        <v>0</v>
      </c>
      <c r="Q48" s="703">
        <f>+landbouw!P12</f>
        <v>0</v>
      </c>
      <c r="R48" s="745">
        <f ca="1">SUM(C48:Q48)</f>
        <v>5989.0194969062504</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27356.592237077137</v>
      </c>
      <c r="D53" s="757">
        <f t="shared" ref="D53:Q53" ca="1" si="6">D41+D46+D48</f>
        <v>0</v>
      </c>
      <c r="E53" s="757">
        <f t="shared" ca="1" si="6"/>
        <v>34107.714991021494</v>
      </c>
      <c r="F53" s="757">
        <f t="shared" si="6"/>
        <v>1569.2160791791255</v>
      </c>
      <c r="G53" s="757">
        <f t="shared" ca="1" si="6"/>
        <v>38563.940830757318</v>
      </c>
      <c r="H53" s="757">
        <f t="shared" si="6"/>
        <v>61089.316730906954</v>
      </c>
      <c r="I53" s="757">
        <f t="shared" si="6"/>
        <v>9320.5963120955694</v>
      </c>
      <c r="J53" s="757">
        <f t="shared" si="6"/>
        <v>0</v>
      </c>
      <c r="K53" s="757">
        <f t="shared" si="6"/>
        <v>196.07335017177016</v>
      </c>
      <c r="L53" s="757">
        <f t="shared" si="6"/>
        <v>0</v>
      </c>
      <c r="M53" s="757">
        <f t="shared" ca="1" si="6"/>
        <v>0</v>
      </c>
      <c r="N53" s="757">
        <f t="shared" si="6"/>
        <v>0</v>
      </c>
      <c r="O53" s="757">
        <f t="shared" ca="1" si="6"/>
        <v>0</v>
      </c>
      <c r="P53" s="757">
        <f>P41+P46+P48</f>
        <v>0</v>
      </c>
      <c r="Q53" s="758">
        <f t="shared" si="6"/>
        <v>0</v>
      </c>
      <c r="R53" s="759">
        <f ca="1">R41+R46+R48</f>
        <v>172203.45053120935</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0.20188985254874256</v>
      </c>
      <c r="D55" s="823">
        <f t="shared" ca="1" si="7"/>
        <v>0</v>
      </c>
      <c r="E55" s="823">
        <f t="shared" ca="1" si="7"/>
        <v>0.20200000000000001</v>
      </c>
      <c r="F55" s="823">
        <f t="shared" si="7"/>
        <v>0.22700000000000001</v>
      </c>
      <c r="G55" s="823">
        <f t="shared" ca="1" si="7"/>
        <v>0.26700000000000002</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11717.076640132109</v>
      </c>
      <c r="C66" s="779">
        <f>'lokale energieproductie'!B6</f>
        <v>11717.076640132109</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11717.076640132109</v>
      </c>
      <c r="C69" s="787">
        <f>SUM(C64:C68)</f>
        <v>11717.076640132109</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55253.685012245813</v>
      </c>
      <c r="C4" s="461">
        <f>huishoudens!C8</f>
        <v>0</v>
      </c>
      <c r="D4" s="461">
        <f>huishoudens!D8</f>
        <v>105486.51962200001</v>
      </c>
      <c r="E4" s="461">
        <f>huishoudens!E8</f>
        <v>4490.7292716550955</v>
      </c>
      <c r="F4" s="461">
        <f>huishoudens!F8</f>
        <v>105642.1564523259</v>
      </c>
      <c r="G4" s="461">
        <f>huishoudens!G8</f>
        <v>0</v>
      </c>
      <c r="H4" s="461">
        <f>huishoudens!H8</f>
        <v>0</v>
      </c>
      <c r="I4" s="461">
        <f>huishoudens!I8</f>
        <v>0</v>
      </c>
      <c r="J4" s="461">
        <f>huishoudens!J8</f>
        <v>0</v>
      </c>
      <c r="K4" s="461">
        <f>huishoudens!K8</f>
        <v>0</v>
      </c>
      <c r="L4" s="461">
        <f>huishoudens!L8</f>
        <v>0</v>
      </c>
      <c r="M4" s="461">
        <f>huishoudens!M8</f>
        <v>0</v>
      </c>
      <c r="N4" s="461">
        <f>huishoudens!N8</f>
        <v>15935.080505480157</v>
      </c>
      <c r="O4" s="461">
        <f>huishoudens!O8</f>
        <v>229.81</v>
      </c>
      <c r="P4" s="462">
        <f>huishoudens!P8</f>
        <v>495.73333333333335</v>
      </c>
      <c r="Q4" s="463">
        <f>SUM(B4:P4)</f>
        <v>287533.7141970403</v>
      </c>
    </row>
    <row r="5" spans="1:17">
      <c r="A5" s="460" t="s">
        <v>156</v>
      </c>
      <c r="B5" s="461">
        <f ca="1">tertiair!B16</f>
        <v>34263.990999999995</v>
      </c>
      <c r="C5" s="461">
        <f ca="1">tertiair!C16</f>
        <v>0</v>
      </c>
      <c r="D5" s="461">
        <f ca="1">tertiair!D16</f>
        <v>41338.876479999999</v>
      </c>
      <c r="E5" s="461">
        <f>tertiair!E16</f>
        <v>608.37841020961798</v>
      </c>
      <c r="F5" s="461">
        <f ca="1">tertiair!F16</f>
        <v>6751.8424556761138</v>
      </c>
      <c r="G5" s="461">
        <f>tertiair!G16</f>
        <v>0</v>
      </c>
      <c r="H5" s="461">
        <f>tertiair!H16</f>
        <v>0</v>
      </c>
      <c r="I5" s="461">
        <f>tertiair!I16</f>
        <v>0</v>
      </c>
      <c r="J5" s="461">
        <f>tertiair!J16</f>
        <v>0</v>
      </c>
      <c r="K5" s="461">
        <f>tertiair!K16</f>
        <v>0</v>
      </c>
      <c r="L5" s="461">
        <f ca="1">tertiair!L16</f>
        <v>0</v>
      </c>
      <c r="M5" s="461">
        <f>tertiair!M16</f>
        <v>0</v>
      </c>
      <c r="N5" s="461">
        <f ca="1">tertiair!N16</f>
        <v>1071.6924189547078</v>
      </c>
      <c r="O5" s="461">
        <f>tertiair!O16</f>
        <v>1.5633333333333335</v>
      </c>
      <c r="P5" s="462">
        <f>tertiair!P16</f>
        <v>133.46666666666667</v>
      </c>
      <c r="Q5" s="460">
        <f t="shared" ref="Q5:Q13" ca="1" si="0">SUM(B5:P5)</f>
        <v>84169.81076484044</v>
      </c>
    </row>
    <row r="6" spans="1:17">
      <c r="A6" s="460" t="s">
        <v>195</v>
      </c>
      <c r="B6" s="461">
        <f>'openbare verlichting'!B8</f>
        <v>1868.5129999999999</v>
      </c>
      <c r="C6" s="461"/>
      <c r="D6" s="461"/>
      <c r="E6" s="461"/>
      <c r="F6" s="461"/>
      <c r="G6" s="461"/>
      <c r="H6" s="461"/>
      <c r="I6" s="461"/>
      <c r="J6" s="461"/>
      <c r="K6" s="461"/>
      <c r="L6" s="461"/>
      <c r="M6" s="461"/>
      <c r="N6" s="461"/>
      <c r="O6" s="461"/>
      <c r="P6" s="462"/>
      <c r="Q6" s="460">
        <f t="shared" si="0"/>
        <v>1868.5129999999999</v>
      </c>
    </row>
    <row r="7" spans="1:17">
      <c r="A7" s="460" t="s">
        <v>112</v>
      </c>
      <c r="B7" s="461">
        <f>landbouw!B8</f>
        <v>3671.15</v>
      </c>
      <c r="C7" s="461">
        <f>landbouw!C8</f>
        <v>0</v>
      </c>
      <c r="D7" s="461">
        <f>landbouw!D8</f>
        <v>438.67146400000001</v>
      </c>
      <c r="E7" s="461">
        <f>landbouw!E8</f>
        <v>38.445077571564404</v>
      </c>
      <c r="F7" s="461">
        <f>landbouw!F8</f>
        <v>18855.610936169644</v>
      </c>
      <c r="G7" s="461">
        <f>landbouw!G8</f>
        <v>0</v>
      </c>
      <c r="H7" s="461">
        <f>landbouw!H8</f>
        <v>0</v>
      </c>
      <c r="I7" s="461">
        <f>landbouw!I8</f>
        <v>0</v>
      </c>
      <c r="J7" s="461">
        <f>landbouw!J8</f>
        <v>327.86660007879948</v>
      </c>
      <c r="K7" s="461">
        <f>landbouw!K8</f>
        <v>0</v>
      </c>
      <c r="L7" s="461">
        <f>landbouw!L8</f>
        <v>0</v>
      </c>
      <c r="M7" s="461">
        <f>landbouw!M8</f>
        <v>0</v>
      </c>
      <c r="N7" s="461">
        <f>landbouw!N8</f>
        <v>0</v>
      </c>
      <c r="O7" s="461">
        <f>landbouw!O8</f>
        <v>0</v>
      </c>
      <c r="P7" s="462">
        <f>landbouw!P8</f>
        <v>0</v>
      </c>
      <c r="Q7" s="460">
        <f t="shared" si="0"/>
        <v>23331.744077820007</v>
      </c>
    </row>
    <row r="8" spans="1:17">
      <c r="A8" s="460" t="s">
        <v>656</v>
      </c>
      <c r="B8" s="461">
        <f>industrie!B18</f>
        <v>40443.040000000001</v>
      </c>
      <c r="C8" s="461">
        <f>industrie!C18</f>
        <v>0</v>
      </c>
      <c r="D8" s="461">
        <f>industrie!D18</f>
        <v>21575.064280000002</v>
      </c>
      <c r="E8" s="461">
        <f>industrie!E18</f>
        <v>523.35938029773331</v>
      </c>
      <c r="F8" s="461">
        <f>industrie!F18</f>
        <v>13184.625477016769</v>
      </c>
      <c r="G8" s="461">
        <f>industrie!G18</f>
        <v>0</v>
      </c>
      <c r="H8" s="461">
        <f>industrie!H18</f>
        <v>0</v>
      </c>
      <c r="I8" s="461">
        <f>industrie!I18</f>
        <v>0</v>
      </c>
      <c r="J8" s="461">
        <f>industrie!J18</f>
        <v>226.01292018043827</v>
      </c>
      <c r="K8" s="461">
        <f>industrie!K18</f>
        <v>0</v>
      </c>
      <c r="L8" s="461">
        <f>industrie!L18</f>
        <v>0</v>
      </c>
      <c r="M8" s="461">
        <f>industrie!M18</f>
        <v>0</v>
      </c>
      <c r="N8" s="461">
        <f>industrie!N18</f>
        <v>1156.432318251987</v>
      </c>
      <c r="O8" s="461">
        <f>industrie!O18</f>
        <v>0</v>
      </c>
      <c r="P8" s="462">
        <f>industrie!P18</f>
        <v>0</v>
      </c>
      <c r="Q8" s="460">
        <f t="shared" si="0"/>
        <v>77108.534375746924</v>
      </c>
    </row>
    <row r="9" spans="1:17" s="466" customFormat="1">
      <c r="A9" s="464" t="s">
        <v>574</v>
      </c>
      <c r="B9" s="465">
        <f>transport!B14</f>
        <v>2.1828635294675189</v>
      </c>
      <c r="C9" s="465">
        <f>transport!C14</f>
        <v>0</v>
      </c>
      <c r="D9" s="465">
        <f>transport!D14</f>
        <v>10.942366977677551</v>
      </c>
      <c r="E9" s="465">
        <f>transport!E14</f>
        <v>1251.9340240506829</v>
      </c>
      <c r="F9" s="465">
        <f>transport!F14</f>
        <v>0</v>
      </c>
      <c r="G9" s="465">
        <f>transport!G14</f>
        <v>225137.034755278</v>
      </c>
      <c r="H9" s="465">
        <f>transport!H14</f>
        <v>37432.113703195057</v>
      </c>
      <c r="I9" s="465">
        <f>transport!I14</f>
        <v>0</v>
      </c>
      <c r="J9" s="465">
        <f>transport!J14</f>
        <v>0</v>
      </c>
      <c r="K9" s="465">
        <f>transport!K14</f>
        <v>0</v>
      </c>
      <c r="L9" s="465">
        <f>transport!L14</f>
        <v>0</v>
      </c>
      <c r="M9" s="465">
        <f>transport!M14</f>
        <v>11453.734095978076</v>
      </c>
      <c r="N9" s="465">
        <f>transport!N14</f>
        <v>0</v>
      </c>
      <c r="O9" s="465">
        <f>transport!O14</f>
        <v>0</v>
      </c>
      <c r="P9" s="465">
        <f>transport!P14</f>
        <v>0</v>
      </c>
      <c r="Q9" s="464">
        <f>SUM(B9:P9)</f>
        <v>275287.94180900895</v>
      </c>
    </row>
    <row r="10" spans="1:17">
      <c r="A10" s="460" t="s">
        <v>564</v>
      </c>
      <c r="B10" s="461">
        <f>transport!B54</f>
        <v>0</v>
      </c>
      <c r="C10" s="461">
        <f>transport!C54</f>
        <v>0</v>
      </c>
      <c r="D10" s="461">
        <f>transport!D54</f>
        <v>0</v>
      </c>
      <c r="E10" s="461">
        <f>transport!E54</f>
        <v>0</v>
      </c>
      <c r="F10" s="461">
        <f>transport!F54</f>
        <v>0</v>
      </c>
      <c r="G10" s="461">
        <f>transport!G54</f>
        <v>3661.9043117892365</v>
      </c>
      <c r="H10" s="461">
        <f>transport!H54</f>
        <v>0</v>
      </c>
      <c r="I10" s="461">
        <f>transport!I54</f>
        <v>0</v>
      </c>
      <c r="J10" s="461">
        <f>transport!J54</f>
        <v>0</v>
      </c>
      <c r="K10" s="461">
        <f>transport!K54</f>
        <v>0</v>
      </c>
      <c r="L10" s="461">
        <f>transport!L54</f>
        <v>0</v>
      </c>
      <c r="M10" s="461">
        <f>transport!M54</f>
        <v>156.09107175410276</v>
      </c>
      <c r="N10" s="461">
        <f>transport!N54</f>
        <v>0</v>
      </c>
      <c r="O10" s="461">
        <f>transport!O54</f>
        <v>0</v>
      </c>
      <c r="P10" s="462">
        <f>transport!P54</f>
        <v>0</v>
      </c>
      <c r="Q10" s="460">
        <f t="shared" si="0"/>
        <v>3817.9953835433394</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135502.56187577528</v>
      </c>
      <c r="C14" s="471">
        <f t="shared" ref="C14:Q14" ca="1" si="1">SUM(C4:C13)</f>
        <v>0</v>
      </c>
      <c r="D14" s="471">
        <f t="shared" ca="1" si="1"/>
        <v>168850.07421297769</v>
      </c>
      <c r="E14" s="471">
        <f t="shared" si="1"/>
        <v>6912.8461637846931</v>
      </c>
      <c r="F14" s="471">
        <f t="shared" ca="1" si="1"/>
        <v>144434.23532118843</v>
      </c>
      <c r="G14" s="471">
        <f t="shared" si="1"/>
        <v>228798.93906706723</v>
      </c>
      <c r="H14" s="471">
        <f t="shared" si="1"/>
        <v>37432.113703195057</v>
      </c>
      <c r="I14" s="471">
        <f t="shared" si="1"/>
        <v>0</v>
      </c>
      <c r="J14" s="471">
        <f t="shared" si="1"/>
        <v>553.87952025923778</v>
      </c>
      <c r="K14" s="471">
        <f t="shared" si="1"/>
        <v>0</v>
      </c>
      <c r="L14" s="471">
        <f t="shared" ca="1" si="1"/>
        <v>0</v>
      </c>
      <c r="M14" s="471">
        <f t="shared" si="1"/>
        <v>11609.825167732179</v>
      </c>
      <c r="N14" s="471">
        <f t="shared" ca="1" si="1"/>
        <v>18163.20524268685</v>
      </c>
      <c r="O14" s="471">
        <f t="shared" si="1"/>
        <v>231.37333333333333</v>
      </c>
      <c r="P14" s="472">
        <f t="shared" si="1"/>
        <v>629.20000000000005</v>
      </c>
      <c r="Q14" s="472">
        <f t="shared" ca="1" si="1"/>
        <v>753118.25360799988</v>
      </c>
    </row>
    <row r="16" spans="1:17">
      <c r="A16" s="474" t="s">
        <v>569</v>
      </c>
      <c r="B16" s="828">
        <f ca="1">huishoudens!B10</f>
        <v>0.20188985254874259</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11155.158319896975</v>
      </c>
      <c r="C21" s="461">
        <f t="shared" ref="C21:C30" ca="1" si="3">C4*$C$16</f>
        <v>0</v>
      </c>
      <c r="D21" s="461">
        <f t="shared" ref="D21:D30" si="4">D4*$D$16</f>
        <v>21308.276963644003</v>
      </c>
      <c r="E21" s="461">
        <f t="shared" ref="E21:E30" si="5">E4*$E$16</f>
        <v>1019.3955446657067</v>
      </c>
      <c r="F21" s="461">
        <f t="shared" ref="F21:F30" si="6">F4*$F$16</f>
        <v>28206.455772771016</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61689.286600977706</v>
      </c>
    </row>
    <row r="22" spans="1:17">
      <c r="A22" s="460" t="s">
        <v>156</v>
      </c>
      <c r="B22" s="461">
        <f t="shared" ca="1" si="2"/>
        <v>6917.5520907214423</v>
      </c>
      <c r="C22" s="461">
        <f t="shared" ca="1" si="3"/>
        <v>0</v>
      </c>
      <c r="D22" s="461">
        <f t="shared" ca="1" si="4"/>
        <v>8350.4530489600002</v>
      </c>
      <c r="E22" s="461">
        <f t="shared" si="5"/>
        <v>138.10189911758329</v>
      </c>
      <c r="F22" s="461">
        <f t="shared" ca="1" si="6"/>
        <v>1802.7419356655225</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17208.848974464545</v>
      </c>
    </row>
    <row r="23" spans="1:17">
      <c r="A23" s="460" t="s">
        <v>195</v>
      </c>
      <c r="B23" s="461">
        <f t="shared" ca="1" si="2"/>
        <v>377.23381405540863</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377.23381405540863</v>
      </c>
    </row>
    <row r="24" spans="1:17">
      <c r="A24" s="460" t="s">
        <v>112</v>
      </c>
      <c r="B24" s="461">
        <f t="shared" ca="1" si="2"/>
        <v>741.16793218431633</v>
      </c>
      <c r="C24" s="461">
        <f t="shared" ca="1" si="3"/>
        <v>0</v>
      </c>
      <c r="D24" s="461">
        <f t="shared" si="4"/>
        <v>88.61163572800001</v>
      </c>
      <c r="E24" s="461">
        <f t="shared" si="5"/>
        <v>8.7270326087451195</v>
      </c>
      <c r="F24" s="461">
        <f t="shared" si="6"/>
        <v>5034.4481199572947</v>
      </c>
      <c r="G24" s="461">
        <f t="shared" si="7"/>
        <v>0</v>
      </c>
      <c r="H24" s="461">
        <f t="shared" si="8"/>
        <v>0</v>
      </c>
      <c r="I24" s="461">
        <f t="shared" si="9"/>
        <v>0</v>
      </c>
      <c r="J24" s="461">
        <f t="shared" si="10"/>
        <v>116.06477642789501</v>
      </c>
      <c r="K24" s="461">
        <f t="shared" si="11"/>
        <v>0</v>
      </c>
      <c r="L24" s="461">
        <f t="shared" si="12"/>
        <v>0</v>
      </c>
      <c r="M24" s="461">
        <f t="shared" si="13"/>
        <v>0</v>
      </c>
      <c r="N24" s="461">
        <f t="shared" si="14"/>
        <v>0</v>
      </c>
      <c r="O24" s="461">
        <f t="shared" si="15"/>
        <v>0</v>
      </c>
      <c r="P24" s="462">
        <f t="shared" si="16"/>
        <v>0</v>
      </c>
      <c r="Q24" s="460">
        <f t="shared" ca="1" si="17"/>
        <v>5989.0194969062504</v>
      </c>
    </row>
    <row r="25" spans="1:17">
      <c r="A25" s="460" t="s">
        <v>656</v>
      </c>
      <c r="B25" s="461">
        <f t="shared" ca="1" si="2"/>
        <v>8165.0393822228989</v>
      </c>
      <c r="C25" s="461">
        <f t="shared" ca="1" si="3"/>
        <v>0</v>
      </c>
      <c r="D25" s="461">
        <f t="shared" si="4"/>
        <v>4358.162984560001</v>
      </c>
      <c r="E25" s="461">
        <f t="shared" si="5"/>
        <v>118.80257932758546</v>
      </c>
      <c r="F25" s="461">
        <f t="shared" si="6"/>
        <v>3520.2950023634776</v>
      </c>
      <c r="G25" s="461">
        <f t="shared" si="7"/>
        <v>0</v>
      </c>
      <c r="H25" s="461">
        <f t="shared" si="8"/>
        <v>0</v>
      </c>
      <c r="I25" s="461">
        <f t="shared" si="9"/>
        <v>0</v>
      </c>
      <c r="J25" s="461">
        <f t="shared" si="10"/>
        <v>80.008573743875147</v>
      </c>
      <c r="K25" s="461">
        <f t="shared" si="11"/>
        <v>0</v>
      </c>
      <c r="L25" s="461">
        <f t="shared" si="12"/>
        <v>0</v>
      </c>
      <c r="M25" s="461">
        <f t="shared" si="13"/>
        <v>0</v>
      </c>
      <c r="N25" s="461">
        <f t="shared" si="14"/>
        <v>0</v>
      </c>
      <c r="O25" s="461">
        <f t="shared" si="15"/>
        <v>0</v>
      </c>
      <c r="P25" s="462">
        <f t="shared" si="16"/>
        <v>0</v>
      </c>
      <c r="Q25" s="460">
        <f t="shared" ca="1" si="17"/>
        <v>16242.308522217838</v>
      </c>
    </row>
    <row r="26" spans="1:17" s="466" customFormat="1">
      <c r="A26" s="464" t="s">
        <v>574</v>
      </c>
      <c r="B26" s="822">
        <f t="shared" ca="1" si="2"/>
        <v>0.44069799609822524</v>
      </c>
      <c r="C26" s="465">
        <f t="shared" ca="1" si="3"/>
        <v>0</v>
      </c>
      <c r="D26" s="465">
        <f t="shared" si="4"/>
        <v>2.2103581294908654</v>
      </c>
      <c r="E26" s="465">
        <f t="shared" si="5"/>
        <v>284.18902345950499</v>
      </c>
      <c r="F26" s="465">
        <f t="shared" si="6"/>
        <v>0</v>
      </c>
      <c r="G26" s="465">
        <f t="shared" si="7"/>
        <v>60111.588279659227</v>
      </c>
      <c r="H26" s="465">
        <f t="shared" si="8"/>
        <v>9320.5963120955694</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69719.024671339896</v>
      </c>
    </row>
    <row r="27" spans="1:17">
      <c r="A27" s="460" t="s">
        <v>564</v>
      </c>
      <c r="B27" s="461">
        <f t="shared" ca="1" si="2"/>
        <v>0</v>
      </c>
      <c r="C27" s="461">
        <f t="shared" ca="1" si="3"/>
        <v>0</v>
      </c>
      <c r="D27" s="461">
        <f t="shared" si="4"/>
        <v>0</v>
      </c>
      <c r="E27" s="461">
        <f t="shared" si="5"/>
        <v>0</v>
      </c>
      <c r="F27" s="461">
        <f t="shared" si="6"/>
        <v>0</v>
      </c>
      <c r="G27" s="461">
        <f t="shared" si="7"/>
        <v>977.72845124772618</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977.72845124772618</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27356.592237077137</v>
      </c>
      <c r="C31" s="471">
        <f t="shared" ca="1" si="18"/>
        <v>0</v>
      </c>
      <c r="D31" s="471">
        <f t="shared" ca="1" si="18"/>
        <v>34107.714991021501</v>
      </c>
      <c r="E31" s="471">
        <f t="shared" si="18"/>
        <v>1569.2160791791255</v>
      </c>
      <c r="F31" s="471">
        <f t="shared" ca="1" si="18"/>
        <v>38563.94083075731</v>
      </c>
      <c r="G31" s="471">
        <f t="shared" si="18"/>
        <v>61089.316730906954</v>
      </c>
      <c r="H31" s="471">
        <f t="shared" si="18"/>
        <v>9320.5963120955694</v>
      </c>
      <c r="I31" s="471">
        <f t="shared" si="18"/>
        <v>0</v>
      </c>
      <c r="J31" s="471">
        <f t="shared" si="18"/>
        <v>196.07335017177016</v>
      </c>
      <c r="K31" s="471">
        <f t="shared" si="18"/>
        <v>0</v>
      </c>
      <c r="L31" s="471">
        <f t="shared" ca="1" si="18"/>
        <v>0</v>
      </c>
      <c r="M31" s="471">
        <f t="shared" si="18"/>
        <v>0</v>
      </c>
      <c r="N31" s="471">
        <f t="shared" ca="1" si="18"/>
        <v>0</v>
      </c>
      <c r="O31" s="471">
        <f t="shared" si="18"/>
        <v>0</v>
      </c>
      <c r="P31" s="472">
        <f t="shared" si="18"/>
        <v>0</v>
      </c>
      <c r="Q31" s="472">
        <f t="shared" ca="1" si="18"/>
        <v>172203.45053120935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0.20188985254874259</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0.20188985254874259</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0.20188985254874259</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2018-06-27T09:03:14Z</dcterms:modified>
</cp:coreProperties>
</file>