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I8" s="1"/>
  <c r="J68" i="14" s="1"/>
  <c r="S88" i="1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C13" i="15" s="1"/>
  <c r="N59" i="18"/>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B8" i="9" l="1"/>
  <c r="B6" i="48" s="1"/>
  <c r="Q6" s="1"/>
  <c r="J15" i="16"/>
  <c r="O80" i="14"/>
  <c r="H68"/>
  <c r="C97" i="18"/>
  <c r="I100" s="1"/>
  <c r="H7" s="1"/>
  <c r="I67" i="14" s="1"/>
  <c r="F16" i="16"/>
  <c r="D13" i="15"/>
  <c r="B16" i="18"/>
  <c r="B78" i="14" s="1"/>
  <c r="D12" i="22"/>
  <c r="E17" i="14"/>
  <c r="D13" i="48"/>
  <c r="D30" s="1"/>
  <c r="D31" i="20"/>
  <c r="E43" i="14" s="1"/>
  <c r="I101" i="18"/>
  <c r="H16" s="1"/>
  <c r="I78" i="14" s="1"/>
  <c r="I81"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P22" i="16"/>
  <c r="Q39" i="14" s="1"/>
  <c r="P18" i="16"/>
  <c r="J8" i="17"/>
  <c r="J7" i="48" s="1"/>
  <c r="J24" s="1"/>
  <c r="G19" i="18"/>
  <c r="K19"/>
  <c r="L16" i="16"/>
  <c r="L18" s="1"/>
  <c r="N6" i="17"/>
  <c r="C100" i="18"/>
  <c r="G100"/>
  <c r="B81" i="14"/>
  <c r="E31" i="20"/>
  <c r="F43" i="14" s="1"/>
  <c r="H14" i="22"/>
  <c r="F8" i="17"/>
  <c r="G22" i="14" s="1"/>
  <c r="D100" i="18"/>
  <c r="B100"/>
  <c r="C7" s="1"/>
  <c r="D67" i="14" s="1"/>
  <c r="E9"/>
  <c r="J9"/>
  <c r="N9"/>
  <c r="I11" i="48"/>
  <c r="M11"/>
  <c r="M28" s="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J15"/>
  <c r="N15"/>
  <c r="H15"/>
  <c r="L15"/>
  <c r="M46"/>
  <c r="H69"/>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E23"/>
  <c r="I23"/>
  <c r="O24"/>
  <c r="I25"/>
  <c r="P11" i="14"/>
  <c r="O12" i="13"/>
  <c r="P37" i="14" s="1"/>
  <c r="C9" i="18"/>
  <c r="H9"/>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J81" i="14"/>
  <c r="L29" i="48"/>
  <c r="G31" i="20"/>
  <c r="H43" i="14" s="1"/>
  <c r="E100" i="18"/>
  <c r="E7" s="1"/>
  <c r="H100"/>
  <c r="J7" s="1"/>
  <c r="O78" i="14"/>
  <c r="F100" i="18"/>
  <c r="J41" i="14"/>
  <c r="G13" i="48"/>
  <c r="G30" s="1"/>
  <c r="E19" i="18"/>
  <c r="F7" i="48"/>
  <c r="F24" s="1"/>
  <c r="L30"/>
  <c r="B35" i="13"/>
  <c r="I69" i="14"/>
  <c r="J12" i="17"/>
  <c r="K48" i="14" s="1"/>
  <c r="F12" i="17"/>
  <c r="G48" i="14" s="1"/>
  <c r="H17"/>
  <c r="I19" i="18"/>
  <c r="J16"/>
  <c r="K78" i="14" s="1"/>
  <c r="D81"/>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O68" i="14"/>
  <c r="C68"/>
  <c r="F22"/>
  <c r="E8" i="17"/>
  <c r="D69" i="14"/>
  <c r="D8" i="48"/>
  <c r="D25" s="1"/>
  <c r="D18" i="16"/>
  <c r="D22" s="1"/>
  <c r="E39" i="14" s="1"/>
  <c r="M16" i="18"/>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C14" s="1"/>
  <c r="M19" i="18"/>
  <c r="K81" i="14" l="1"/>
  <c r="C78"/>
  <c r="C81" s="1"/>
  <c r="M22"/>
  <c r="R22" s="1"/>
  <c r="O22"/>
  <c r="N12" i="17"/>
  <c r="O48" i="14" s="1"/>
  <c r="N7" i="48"/>
  <c r="N24" s="1"/>
  <c r="F67" i="14"/>
  <c r="E9" i="18"/>
  <c r="R17" i="14"/>
  <c r="E13"/>
  <c r="L12" i="17"/>
  <c r="M48" i="14" s="1"/>
  <c r="E20" i="15"/>
  <c r="F36" i="14" s="1"/>
  <c r="E16" i="15"/>
  <c r="K67" i="14"/>
  <c r="K69" s="1"/>
  <c r="J9" i="18"/>
  <c r="J67" i="14"/>
  <c r="I9" i="18"/>
  <c r="M7"/>
  <c r="M9" s="1"/>
  <c r="K10" i="14"/>
  <c r="J16" i="15"/>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M9" i="48" l="1"/>
  <c r="M14" s="1"/>
  <c r="N19" i="14"/>
  <c r="R19" s="1"/>
  <c r="F69"/>
  <c r="O67"/>
  <c r="P55"/>
  <c r="O31" i="48"/>
  <c r="J18" i="16"/>
  <c r="J8" i="48" s="1"/>
  <c r="J25" s="1"/>
  <c r="N18" i="16"/>
  <c r="N8" i="48" s="1"/>
  <c r="E18" i="16"/>
  <c r="E22" s="1"/>
  <c r="F39" i="14" s="1"/>
  <c r="F41" s="1"/>
  <c r="F53" s="1"/>
  <c r="O14" i="48"/>
  <c r="F18" i="16"/>
  <c r="G13" i="14" s="1"/>
  <c r="G15" s="1"/>
  <c r="G23" s="1"/>
  <c r="J69"/>
  <c r="C67"/>
  <c r="C69" s="1"/>
  <c r="B14" i="48"/>
  <c r="K13" i="14"/>
  <c r="K15" s="1"/>
  <c r="K23" s="1"/>
  <c r="N20"/>
  <c r="N23" s="1"/>
  <c r="H46"/>
  <c r="H53" s="1"/>
  <c r="G26" i="48"/>
  <c r="G14"/>
  <c r="G27"/>
  <c r="Q10"/>
  <c r="R18" i="14"/>
  <c r="H20"/>
  <c r="H23" s="1"/>
  <c r="Q9" i="48"/>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M26" i="48" l="1"/>
  <c r="M31" s="1"/>
  <c r="F13" i="14"/>
  <c r="F15" s="1"/>
  <c r="F23" s="1"/>
  <c r="F55" s="1"/>
  <c r="F22" i="16"/>
  <c r="G39" i="14" s="1"/>
  <c r="G41"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Q8" i="48" l="1"/>
  <c r="Q14" s="1"/>
  <c r="R13" i="14"/>
  <c r="R15" s="1"/>
  <c r="R23" s="1"/>
  <c r="F25" i="48"/>
  <c r="F31"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<sst xmlns="http://schemas.openxmlformats.org/spreadsheetml/2006/main" count="2029" uniqueCount="894">
  <si>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</si>
  <si>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</si>
  <si>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</si>
  <si>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</si>
  <si>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</si>
  <si>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</si>
  <si>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</si>
  <si>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</si>
  <si>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</si>
  <si>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</si>
  <si>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</si>
  <si>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</si>
  <si>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</si>
  <si>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</si>
  <si>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</si>
  <si>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</si>
  <si>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</si>
  <si>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</si>
  <si>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</si>
  <si>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</si>
  <si>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</si>
  <si>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</si>
  <si>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</si>
  <si>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</si>
  <si>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</si>
  <si>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</si>
  <si>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</si>
  <si>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</si>
  <si>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</si>
  <si>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</si>
  <si>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</si>
  <si>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</si>
  <si>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</si>
  <si>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</si>
  <si>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</si>
  <si>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</si>
  <si>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</si>
  <si>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</si>
  <si>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</si>
  <si>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</si>
  <si>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</si>
  <si>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</si>
  <si>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</si>
  <si>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</si>
  <si>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</si>
  <si>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</si>
  <si>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</si>
  <si>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</si>
  <si>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</si>
  <si>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</si>
  <si>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</si>
  <si>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</si>
  <si>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</si>
  <si>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</si>
  <si>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</si>
  <si>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</si>
  <si>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</si>
  <si>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</si>
  <si>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</si>
  <si>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</si>
  <si>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</si>
  <si>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</si>
  <si>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</si>
  <si>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</si>
  <si>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</si>
  <si>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</si>
  <si>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</si>
  <si>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</si>
  <si>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</si>
  <si>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</si>
  <si>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</si>
  <si>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</si>
  <si>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</si>
  <si>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</si>
  <si>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</si>
  <si>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</si>
  <si>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</si>
  <si>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</si>
  <si>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</si>
  <si>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</si>
  <si>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</si>
  <si>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</si>
  <si>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</si>
  <si>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</si>
  <si>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</si>
  <si>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</si>
  <si>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</si>
  <si>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</si>
  <si>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</si>
  <si>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</si>
  <si>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</si>
  <si>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</si>
  <si>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</si>
  <si>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</si>
  <si>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</si>
  <si>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</si>
  <si>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</si>
  <si>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</si>
  <si>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</si>
  <si>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</si>
  <si>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</si>
  <si>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</si>
  <si>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</si>
  <si>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</si>
  <si>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</si>
  <si>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</si>
  <si>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</si>
  <si>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</si>
  <si>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</si>
  <si>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</si>
  <si>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</si>
  <si>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</si>
  <si>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</si>
  <si>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</si>
  <si>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</si>
  <si>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</si>
  <si>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</si>
  <si>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</si>
  <si>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</si>
  <si>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</si>
  <si>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</si>
  <si>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</si>
  <si>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</si>
  <si>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</si>
  <si>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</si>
  <si>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</si>
  <si>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</si>
  <si>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</si>
  <si>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</si>
  <si>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</si>
  <si>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</si>
  <si>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</si>
  <si>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</si>
  <si>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</si>
  <si>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</si>
  <si>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</si>
  <si>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</si>
  <si>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</si>
  <si>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</si>
  <si>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</si>
  <si>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</si>
  <si>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</si>
  <si>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</si>
  <si>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</si>
  <si>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</si>
  <si>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</si>
  <si>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</si>
  <si>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</si>
  <si>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</si>
  <si>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</si>
  <si>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</si>
  <si>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</si>
  <si>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</si>
  <si>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</si>
  <si>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</si>
  <si>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</si>
  <si>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</si>
  <si>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</si>
  <si>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</si>
  <si>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</si>
  <si>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</si>
  <si>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</si>
  <si>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</si>
  <si>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</si>
  <si>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</si>
  <si>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</si>
  <si>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</si>
  <si>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</si>
  <si>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</si>
  <si>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</si>
  <si>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</si>
  <si>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</si>
  <si>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</si>
  <si>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</si>
  <si>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</si>
  <si>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</si>
  <si>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</si>
  <si>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</si>
  <si>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</si>
  <si>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</si>
  <si>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</si>
  <si>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</si>
  <si>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</si>
  <si>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</si>
  <si>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</si>
  <si>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</si>
  <si>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</si>
  <si>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</si>
  <si>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</si>
  <si>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</si>
  <si>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</si>
  <si>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</si>
  <si>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</si>
  <si>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</si>
  <si>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</si>
  <si>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</si>
  <si>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</si>
  <si>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</si>
  <si>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</si>
  <si>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</si>
  <si>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</si>
  <si>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</si>
  <si>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</si>
  <si>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</si>
  <si>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</si>
  <si>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</si>
  <si>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</si>
  <si>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</si>
  <si>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</si>
  <si>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</si>
  <si>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</si>
  <si>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</si>
  <si>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</si>
  <si>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</si>
  <si>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</si>
  <si>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</si>
  <si>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</si>
  <si>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</si>
  <si>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</si>
  <si>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</si>
  <si>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</si>
  <si>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</si>
  <si>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</si>
  <si>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</si>
  <si>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</si>
  <si>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</si>
  <si>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</si>
  <si>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</si>
  <si>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</si>
  <si>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</si>
  <si>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</si>
  <si>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</si>
  <si>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</si>
  <si>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</si>
  <si>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</si>
  <si>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</si>
  <si>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</si>
  <si>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</si>
  <si>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</si>
  <si>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</si>
  <si>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</si>
  <si>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</si>
  <si>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</si>
  <si>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</si>
  <si>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</si>
  <si>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</si>
  <si>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</si>
  <si>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</si>
  <si>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</si>
  <si>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</si>
  <si>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</si>
  <si>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</si>
  <si>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</si>
  <si>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</si>
  <si>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</si>
  <si>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</si>
  <si>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</si>
  <si>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</si>
  <si>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</si>
  <si>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</si>
  <si>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</si>
  <si>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</si>
  <si>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</si>
  <si>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</si>
  <si>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</si>
  <si>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</si>
  <si>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</si>
  <si>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</si>
  <si>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</si>
  <si>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</si>
  <si>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</si>
  <si>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</si>
  <si>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</si>
  <si>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</si>
  <si>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</si>
  <si>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</si>
  <si>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</si>
  <si>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</si>
  <si>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</si>
  <si>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</si>
  <si>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</si>
  <si>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</si>
  <si>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</si>
  <si>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</si>
  <si>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</si>
  <si>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</si>
  <si>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</si>
  <si>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</si>
  <si>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</si>
  <si>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</si>
  <si>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</si>
  <si>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</si>
  <si>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</si>
  <si>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</si>
  <si>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</si>
  <si>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</si>
  <si>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</si>
  <si>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</si>
  <si>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</si>
  <si>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</si>
  <si>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</si>
  <si>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</si>
  <si>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</si>
  <si>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</si>
  <si>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</si>
  <si>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</si>
  <si>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</si>
  <si>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</si>
  <si>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</si>
  <si>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</si>
  <si>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</si>
  <si>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</si>
  <si>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</si>
  <si>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</si>
  <si>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</si>
  <si>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</si>
  <si>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</si>
  <si>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</si>
  <si>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</si>
  <si>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</si>
  <si>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</si>
  <si>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</si>
  <si>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</si>
  <si>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</si>
  <si>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</si>
  <si>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</si>
  <si>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</si>
  <si>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</si>
  <si>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</si>
  <si>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</si>
  <si>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</si>
  <si>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</si>
  <si>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</si>
  <si>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</si>
  <si>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</si>
  <si>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</si>
  <si>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</si>
  <si>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</si>
  <si>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</si>
  <si>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</si>
  <si>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</si>
  <si>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</si>
  <si>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</si>
  <si>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</si>
  <si>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</si>
  <si>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</si>
  <si>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</si>
  <si>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</si>
  <si>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</si>
  <si>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</si>
  <si>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</si>
  <si>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</si>
  <si>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</si>
  <si>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</si>
  <si>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</si>
  <si>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</si>
  <si>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</si>
  <si>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</si>
  <si>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</si>
  <si>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</si>
  <si>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</si>
  <si>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</si>
  <si>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</si>
  <si>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</si>
  <si>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</si>
  <si>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</si>
  <si>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</si>
  <si>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</si>
  <si>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</si>
  <si>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</si>
  <si>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</si>
  <si>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</si>
  <si>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</si>
  <si>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</si>
  <si>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</si>
  <si>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</si>
  <si>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</si>
  <si>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</si>
  <si>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</si>
  <si>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</si>
  <si>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</si>
  <si>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</si>
  <si>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</si>
  <si>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</si>
  <si>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</si>
  <si>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</si>
  <si>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</si>
  <si>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</si>
  <si>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</si>
  <si>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</si>
  <si>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</si>
  <si>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</si>
  <si>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</si>
  <si>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</si>
  <si>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</si>
  <si>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</si>
  <si>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</si>
  <si>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</si>
  <si>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</si>
  <si>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</si>
  <si>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</si>
  <si>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</si>
  <si>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</si>
  <si>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</si>
  <si>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</si>
  <si>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</si>
  <si>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</si>
  <si>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</si>
  <si>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</si>
  <si>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</si>
  <si>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</si>
  <si>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</si>
  <si>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</si>
  <si>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</si>
  <si>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</si>
  <si>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</si>
  <si>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</si>
  <si>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</si>
  <si>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</si>
  <si>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</si>
  <si>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</si>
  <si>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</si>
  <si>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</si>
  <si>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</si>
  <si>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</si>
  <si>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</si>
  <si>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</si>
  <si>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</si>
  <si>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</si>
  <si>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</si>
  <si>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</si>
  <si>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</si>
  <si>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</si>
  <si>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</si>
  <si>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</si>
  <si>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</si>
  <si>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</si>
  <si>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</si>
  <si>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</si>
  <si>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</si>
  <si>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</si>
  <si>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</si>
  <si>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</si>
  <si>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</si>
  <si>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</si>
  <si>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</si>
  <si>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</si>
  <si>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</si>
  <si>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</si>
  <si>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</si>
  <si>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</si>
  <si>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</si>
  <si>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</si>
  <si>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</si>
  <si>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</si>
  <si>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</si>
  <si>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</si>
  <si>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</si>
  <si>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</si>
  <si>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</si>
  <si>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</si>
  <si>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</si>
  <si>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</si>
  <si>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</si>
  <si>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</si>
  <si>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</si>
  <si>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</si>
  <si>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</si>
  <si>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</si>
  <si>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</si>
  <si>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</si>
  <si>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</si>
  <si>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</si>
  <si>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</si>
  <si>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</si>
  <si>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</si>
  <si>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</si>
  <si>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</si>
  <si>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</si>
  <si>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</si>
  <si>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</si>
  <si>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</si>
  <si>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</si>
  <si>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</si>
  <si>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</si>
  <si>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</si>
  <si>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</si>
  <si>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</si>
  <si>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</si>
  <si>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</si>
  <si>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</si>
  <si>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</si>
  <si>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</si>
  <si>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</si>
  <si>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</si>
  <si>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</si>
  <si>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</si>
  <si>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</si>
  <si>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</si>
  <si>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</si>
  <si>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</si>
  <si>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</si>
  <si>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</si>
  <si>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</si>
  <si>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</si>
  <si>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</si>
  <si>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</si>
  <si>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</si>
  <si>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</si>
  <si>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</si>
  <si>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</si>
  <si>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</si>
  <si>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</si>
  <si>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</si>
  <si>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</si>
  <si>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</si>
  <si>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</si>
  <si>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</si>
  <si>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</si>
  <si>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</si>
  <si>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</si>
  <si>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</si>
  <si>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</si>
  <si>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</si>
  <si>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</si>
  <si>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</si>
  <si>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</si>
  <si>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</si>
  <si>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</si>
  <si>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</si>
  <si>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</si>
  <si>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</si>
  <si>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</si>
  <si>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</si>
  <si>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</si>
  <si>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</si>
  <si>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</si>
  <si>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</si>
  <si>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</si>
  <si>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</si>
  <si>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</si>
  <si>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</si>
  <si>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</si>
  <si>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</si>
  <si>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</si>
  <si>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</si>
  <si>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</si>
  <si>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</si>
  <si>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</si>
  <si>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</si>
  <si>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</si>
  <si>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</si>
  <si>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</si>
  <si>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</si>
  <si>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</si>
  <si>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</si>
  <si>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</si>
  <si>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</si>
  <si>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</si>
  <si>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</si>
  <si>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</si>
  <si>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</si>
  <si>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</si>
  <si>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</si>
  <si>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</si>
  <si>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</si>
  <si>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</si>
  <si>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</si>
  <si>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</si>
  <si>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</si>
  <si>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</si>
  <si>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</si>
  <si>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</si>
  <si>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</si>
  <si>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</si>
  <si>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</si>
  <si>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</si>
  <si>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</si>
  <si>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</si>
  <si>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</si>
  <si>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</si>
  <si>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</si>
  <si>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</si>
  <si>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</si>
  <si>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</si>
  <si>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</si>
  <si>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</si>
  <si>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</si>
  <si>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</si>
  <si>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</si>
  <si>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</si>
  <si>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</si>
  <si>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</si>
  <si>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</si>
  <si>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</si>
  <si>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</si>
  <si>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</si>
  <si>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</si>
  <si>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</si>
  <si>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</si>
  <si>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</si>
  <si>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</si>
  <si>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</si>
  <si>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</si>
  <si>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</si>
  <si>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</si>
  <si>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</si>
  <si>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</si>
  <si>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</si>
  <si>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</si>
  <si>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</si>
  <si>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</si>
  <si>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</si>
  <si>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</si>
  <si>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</si>
  <si>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</si>
  <si>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</si>
  <si>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</si>
  <si>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</si>
  <si>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</si>
  <si>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</si>
  <si>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</si>
  <si>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</si>
  <si>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</si>
  <si>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</si>
  <si>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</si>
  <si>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</si>
  <si>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</si>
  <si>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</si>
  <si>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</si>
  <si>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</si>
  <si>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</si>
  <si>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</si>
  <si>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</si>
  <si>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</si>
  <si>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</si>
  <si>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</si>
  <si>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</si>
  <si>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</si>
  <si>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</si>
  <si>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</si>
  <si>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</si>
  <si>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</si>
  <si>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</si>
  <si>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</si>
  <si>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</si>
  <si>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</si>
  <si>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</si>
  <si>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</si>
  <si>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</si>
  <si>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</si>
  <si>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</si>
  <si>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</si>
  <si>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</si>
  <si>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</si>
  <si>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</si>
  <si>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</si>
  <si>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</si>
  <si>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</si>
  <si>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</si>
  <si>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</si>
  <si>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</si>
  <si>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</si>
  <si>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</si>
  <si>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</si>
  <si>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</si>
  <si>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</si>
  <si>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</si>
  <si>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</si>
  <si>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</si>
  <si>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</si>
  <si>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</si>
  <si>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</si>
  <si>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</si>
  <si>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</si>
  <si>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</si>
  <si>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</si>
  <si>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</si>
  <si>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</si>
  <si>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</si>
  <si>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</si>
  <si>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</si>
  <si>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</si>
  <si>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</si>
  <si>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</si>
  <si>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</si>
  <si>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</si>
  <si>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</si>
  <si>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</si>
  <si>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</si>
  <si>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</si>
  <si>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</si>
  <si>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</si>
  <si>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</si>
  <si>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</si>
  <si>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</si>
  <si>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</si>
  <si>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</si>
  <si>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</si>
  <si>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</si>
  <si>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</si>
  <si>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</si>
  <si>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</si>
  <si>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</si>
  <si>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</si>
  <si>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</si>
  <si>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</si>
  <si>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</si>
  <si>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</si>
  <si>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</si>
  <si>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</si>
  <si>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</si>
  <si>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</si>
  <si>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</si>
  <si>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</si>
  <si>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</si>
  <si>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</si>
  <si>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</si>
  <si>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</si>
  <si>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</si>
  <si>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</si>
  <si>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</si>
  <si>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</si>
  <si>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</si>
  <si>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</si>
  <si>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</si>
  <si>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</si>
  <si>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</si>
  <si>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</si>
  <si>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</si>
  <si>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</si>
  <si>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</si>
  <si>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</si>
  <si>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</si>
  <si>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</si>
  <si>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</si>
  <si>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</si>
  <si>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</si>
  <si>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</si>
  <si>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</si>
  <si>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</si>
  <si>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</si>
  <si>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</si>
  <si>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</si>
  <si>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</si>
  <si>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</si>
  <si>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</si>
  <si>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</si>
  <si>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</si>
  <si>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</si>
  <si>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</si>
  <si>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</si>
  <si>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</si>
  <si>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</si>
  <si>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</si>
  <si>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</si>
  <si>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</si>
  <si>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</si>
  <si>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</si>
  <si>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</si>
  <si>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</si>
  <si>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</si>
  <si>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</si>
  <si>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</si>
  <si>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</si>
  <si>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</si>
  <si>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</si>
  <si>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</si>
  <si>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</si>
  <si>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</si>
  <si>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</si>
  <si>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</si>
  <si>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</si>
  <si>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</si>
  <si>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</si>
  <si>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</si>
  <si>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</si>
  <si>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</si>
  <si>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</si>
  <si>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</si>
  <si>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</si>
  <si>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</si>
  <si>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</si>
  <si>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</si>
  <si>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</si>
  <si>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</si>
  <si>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</si>
  <si>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</si>
  <si>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</si>
  <si>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</si>
  <si>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</si>
  <si>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</si>
  <si>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</si>
  <si>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</si>
  <si>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</si>
  <si>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</si>
  <si>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</si>
  <si>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</si>
  <si>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</si>
  <si>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</si>
  <si>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</si>
  <si>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</si>
  <si>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</si>
  <si>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</si>
  <si>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</si>
  <si>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</si>
  <si>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</si>
  <si>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</si>
  <si>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</si>
  <si>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</si>
  <si>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</si>
  <si>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</si>
  <si>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</si>
  <si>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</si>
  <si>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</si>
  <si>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</si>
  <si>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</si>
  <si>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</si>
  <si>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</si>
  <si>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</si>
  <si>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</si>
  <si>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</si>
  <si>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</si>
  <si>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</si>
  <si>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</si>
  <si>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</si>
  <si>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</si>
  <si>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</si>
  <si>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</si>
  <si>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</si>
  <si>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</si>
  <si>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</si>
  <si>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</si>
  <si>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</si>
  <si>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</si>
  <si>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</si>
  <si>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</si>
  <si>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</si>
  <si>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</si>
  <si>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</si>
  <si>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</si>
  <si>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</si>
  <si>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</si>
  <si>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</si>
  <si>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</si>
  <si>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</si>
  <si>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</si>
  <si>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</si>
  <si>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</si>
  <si>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</si>
  <si>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</si>
  <si>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</si>
  <si>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</si>
  <si>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</si>
  <si>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</si>
  <si>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</si>
  <si>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</si>
  <si>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</si>
  <si>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</si>
  <si>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</si>
  <si>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</si>
  <si>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</si>
  <si>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</si>
  <si>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</si>
  <si>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</si>
  <si>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</si>
  <si>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</si>
  <si>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</si>
  <si>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</si>
  <si>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</si>
  <si>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</si>
  <si>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</si>
  <si>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</si>
  <si>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</si>
  <si>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</si>
  <si>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</si>
  <si>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</si>
  <si>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</si>
  <si>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</si>
  <si>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</si>
  <si>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</si>
  <si>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</si>
  <si>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</si>
  <si>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</si>
  <si>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</si>
  <si>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71066</t>
  </si>
  <si>
    <t>ZONHOVEN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</si>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</sst>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71066</v>
      </c>
      <c r="B6" s="396"/>
      <c r="C6" s="397"/>
    </row>
    <row r="7" spans="1:7" s="394" customFormat="1" ht="15.75" customHeight="1">
      <c r="A7" s="398" t="str">
        <f>txtMunicipality</f>
        <v>ZONHOVEN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18174.936000000002</v>
      </c>
      <c r="D10" s="702">
        <f ca="1">tertiair!C16</f>
        <v>0</v>
      </c>
      <c r="E10" s="702">
        <f ca="1">tertiair!D16</f>
        <v>15761.134883999999</v>
      </c>
      <c r="F10" s="702">
        <f>tertiair!E16</f>
        <v>290.25650523651143</v>
      </c>
      <c r="G10" s="702">
        <f ca="1">tertiair!F16</f>
        <v>3238.0810674612267</v>
      </c>
      <c r="H10" s="702">
        <f>tertiair!G16</f>
        <v>0</v>
      </c>
      <c r="I10" s="702">
        <f>tertiair!H16</f>
        <v>0</v>
      </c>
      <c r="J10" s="702">
        <f>tertiair!I16</f>
        <v>0</v>
      </c>
      <c r="K10" s="702">
        <f>tertiair!J16</f>
        <v>0</v>
      </c>
      <c r="L10" s="702">
        <f>tertiair!K16</f>
        <v>0</v>
      </c>
      <c r="M10" s="702">
        <f ca="1">tertiair!L16</f>
        <v>0</v>
      </c>
      <c r="N10" s="702">
        <f>tertiair!M16</f>
        <v>0</v>
      </c>
      <c r="O10" s="702">
        <f ca="1">tertiair!N16</f>
        <v>485.45010209924448</v>
      </c>
      <c r="P10" s="702">
        <f>tertiair!O16</f>
        <v>0</v>
      </c>
      <c r="Q10" s="703">
        <f>tertiair!P16</f>
        <v>38.133333333333333</v>
      </c>
      <c r="R10" s="705">
        <f ca="1">SUM(C10:Q10)</f>
        <v>37987.991892130318</v>
      </c>
      <c r="S10" s="67"/>
    </row>
    <row r="11" spans="1:19" s="457" customFormat="1">
      <c r="A11" s="858" t="s">
        <v>226</v>
      </c>
      <c r="B11" s="863"/>
      <c r="C11" s="702">
        <f>huishoudens!B8</f>
        <v>39625.158283226563</v>
      </c>
      <c r="D11" s="702">
        <f>huishoudens!C8</f>
        <v>0</v>
      </c>
      <c r="E11" s="702">
        <f>huishoudens!D8</f>
        <v>53795.912302000004</v>
      </c>
      <c r="F11" s="702">
        <f>huishoudens!E8</f>
        <v>4449.7757324227596</v>
      </c>
      <c r="G11" s="702">
        <f>huishoudens!F8</f>
        <v>73698.686352161138</v>
      </c>
      <c r="H11" s="702">
        <f>huishoudens!G8</f>
        <v>0</v>
      </c>
      <c r="I11" s="702">
        <f>huishoudens!H8</f>
        <v>0</v>
      </c>
      <c r="J11" s="702">
        <f>huishoudens!I8</f>
        <v>0</v>
      </c>
      <c r="K11" s="702">
        <f>huishoudens!J8</f>
        <v>0</v>
      </c>
      <c r="L11" s="702">
        <f>huishoudens!K8</f>
        <v>0</v>
      </c>
      <c r="M11" s="702">
        <f>huishoudens!L8</f>
        <v>0</v>
      </c>
      <c r="N11" s="702">
        <f>huishoudens!M8</f>
        <v>0</v>
      </c>
      <c r="O11" s="702">
        <f>huishoudens!N8</f>
        <v>9948.6525725697866</v>
      </c>
      <c r="P11" s="702">
        <f>huishoudens!O8</f>
        <v>115.68666666666667</v>
      </c>
      <c r="Q11" s="703">
        <f>huishoudens!P8</f>
        <v>591.06666666666661</v>
      </c>
      <c r="R11" s="705">
        <f>SUM(C11:Q11)</f>
        <v>182224.9385757136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40037.905999999995</v>
      </c>
      <c r="D13" s="702">
        <f>industrie!C18</f>
        <v>0</v>
      </c>
      <c r="E13" s="702">
        <f>industrie!D18</f>
        <v>90677.552173999997</v>
      </c>
      <c r="F13" s="702">
        <f>industrie!E18</f>
        <v>346.93745994641421</v>
      </c>
      <c r="G13" s="702">
        <f>industrie!F18</f>
        <v>6508.3751992281368</v>
      </c>
      <c r="H13" s="702">
        <f>industrie!G18</f>
        <v>0</v>
      </c>
      <c r="I13" s="702">
        <f>industrie!H18</f>
        <v>0</v>
      </c>
      <c r="J13" s="702">
        <f>industrie!I18</f>
        <v>0</v>
      </c>
      <c r="K13" s="702">
        <f>industrie!J18</f>
        <v>422.72678322221685</v>
      </c>
      <c r="L13" s="702">
        <f>industrie!K18</f>
        <v>0</v>
      </c>
      <c r="M13" s="702">
        <f>industrie!L18</f>
        <v>0</v>
      </c>
      <c r="N13" s="702">
        <f>industrie!M18</f>
        <v>0</v>
      </c>
      <c r="O13" s="702">
        <f>industrie!N18</f>
        <v>492.47846071600929</v>
      </c>
      <c r="P13" s="702">
        <f>industrie!O18</f>
        <v>0</v>
      </c>
      <c r="Q13" s="703">
        <f>industrie!P18</f>
        <v>0</v>
      </c>
      <c r="R13" s="705">
        <f>SUM(C13:Q13)</f>
        <v>138485.97607711278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97838.00028322656</v>
      </c>
      <c r="D15" s="707">
        <f t="shared" ref="D15:Q15" ca="1" si="0">SUM(D9:D14)</f>
        <v>0</v>
      </c>
      <c r="E15" s="707">
        <f t="shared" ca="1" si="0"/>
        <v>160234.59935999999</v>
      </c>
      <c r="F15" s="707">
        <f t="shared" si="0"/>
        <v>5086.9696976056857</v>
      </c>
      <c r="G15" s="707">
        <f t="shared" ca="1" si="0"/>
        <v>83445.142618850499</v>
      </c>
      <c r="H15" s="707">
        <f t="shared" si="0"/>
        <v>0</v>
      </c>
      <c r="I15" s="707">
        <f t="shared" si="0"/>
        <v>0</v>
      </c>
      <c r="J15" s="707">
        <f t="shared" si="0"/>
        <v>0</v>
      </c>
      <c r="K15" s="707">
        <f t="shared" si="0"/>
        <v>422.72678322221685</v>
      </c>
      <c r="L15" s="707">
        <f t="shared" si="0"/>
        <v>0</v>
      </c>
      <c r="M15" s="707">
        <f t="shared" ca="1" si="0"/>
        <v>0</v>
      </c>
      <c r="N15" s="707">
        <f t="shared" si="0"/>
        <v>0</v>
      </c>
      <c r="O15" s="707">
        <f t="shared" ca="1" si="0"/>
        <v>10926.58113538504</v>
      </c>
      <c r="P15" s="707">
        <f t="shared" si="0"/>
        <v>115.68666666666667</v>
      </c>
      <c r="Q15" s="708">
        <f t="shared" si="0"/>
        <v>629.19999999999993</v>
      </c>
      <c r="R15" s="709">
        <f ca="1">SUM(R9:R14)</f>
        <v>358698.90654495673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2717.3522571921458</v>
      </c>
      <c r="I18" s="702">
        <f>transport!H54</f>
        <v>0</v>
      </c>
      <c r="J18" s="702">
        <f>transport!I54</f>
        <v>0</v>
      </c>
      <c r="K18" s="702">
        <f>transport!J54</f>
        <v>0</v>
      </c>
      <c r="L18" s="702">
        <f>transport!K54</f>
        <v>0</v>
      </c>
      <c r="M18" s="702">
        <f>transport!L54</f>
        <v>0</v>
      </c>
      <c r="N18" s="702">
        <f>transport!M54</f>
        <v>115.82892125089607</v>
      </c>
      <c r="O18" s="702">
        <f>transport!N54</f>
        <v>0</v>
      </c>
      <c r="P18" s="702">
        <f>transport!O54</f>
        <v>0</v>
      </c>
      <c r="Q18" s="703">
        <f>transport!P54</f>
        <v>0</v>
      </c>
      <c r="R18" s="705">
        <f>SUM(C18:Q18)</f>
        <v>2833.181178443042</v>
      </c>
      <c r="S18" s="67"/>
    </row>
    <row r="19" spans="1:19" s="457" customFormat="1" ht="15" thickBot="1">
      <c r="A19" s="858" t="s">
        <v>308</v>
      </c>
      <c r="B19" s="863"/>
      <c r="C19" s="711">
        <f>transport!B14</f>
        <v>1.8651587872558995</v>
      </c>
      <c r="D19" s="711">
        <f>transport!C14</f>
        <v>0</v>
      </c>
      <c r="E19" s="711">
        <f>transport!D14</f>
        <v>9.0242428326814164</v>
      </c>
      <c r="F19" s="711">
        <f>transport!E14</f>
        <v>1065.7253478882235</v>
      </c>
      <c r="G19" s="711">
        <f>transport!F14</f>
        <v>0</v>
      </c>
      <c r="H19" s="711">
        <f>transport!G14</f>
        <v>208475.78383765387</v>
      </c>
      <c r="I19" s="711">
        <f>transport!H14</f>
        <v>31176.505963765609</v>
      </c>
      <c r="J19" s="711">
        <f>transport!I14</f>
        <v>0</v>
      </c>
      <c r="K19" s="711">
        <f>transport!J14</f>
        <v>0</v>
      </c>
      <c r="L19" s="711">
        <f>transport!K14</f>
        <v>0</v>
      </c>
      <c r="M19" s="711">
        <f>transport!L14</f>
        <v>0</v>
      </c>
      <c r="N19" s="711">
        <f>transport!M14</f>
        <v>10444.846086680591</v>
      </c>
      <c r="O19" s="711">
        <f>transport!N14</f>
        <v>0</v>
      </c>
      <c r="P19" s="711">
        <f>transport!O14</f>
        <v>0</v>
      </c>
      <c r="Q19" s="712">
        <f>transport!P14</f>
        <v>0</v>
      </c>
      <c r="R19" s="713">
        <f>SUM(C19:Q19)</f>
        <v>251173.75063760823</v>
      </c>
      <c r="S19" s="67"/>
    </row>
    <row r="20" spans="1:19" s="457" customFormat="1" ht="15.75" thickBot="1">
      <c r="A20" s="714" t="s">
        <v>231</v>
      </c>
      <c r="B20" s="866"/>
      <c r="C20" s="861">
        <f>SUM(C17:C19)</f>
        <v>1.8651587872558995</v>
      </c>
      <c r="D20" s="715">
        <f t="shared" ref="D20:R20" si="1">SUM(D17:D19)</f>
        <v>0</v>
      </c>
      <c r="E20" s="715">
        <f t="shared" si="1"/>
        <v>9.0242428326814164</v>
      </c>
      <c r="F20" s="715">
        <f t="shared" si="1"/>
        <v>1065.7253478882235</v>
      </c>
      <c r="G20" s="715">
        <f t="shared" si="1"/>
        <v>0</v>
      </c>
      <c r="H20" s="715">
        <f t="shared" si="1"/>
        <v>211193.13609484601</v>
      </c>
      <c r="I20" s="715">
        <f t="shared" si="1"/>
        <v>31176.505963765609</v>
      </c>
      <c r="J20" s="715">
        <f t="shared" si="1"/>
        <v>0</v>
      </c>
      <c r="K20" s="715">
        <f t="shared" si="1"/>
        <v>0</v>
      </c>
      <c r="L20" s="715">
        <f t="shared" si="1"/>
        <v>0</v>
      </c>
      <c r="M20" s="715">
        <f t="shared" si="1"/>
        <v>0</v>
      </c>
      <c r="N20" s="715">
        <f t="shared" si="1"/>
        <v>10560.675007931486</v>
      </c>
      <c r="O20" s="715">
        <f t="shared" si="1"/>
        <v>0</v>
      </c>
      <c r="P20" s="715">
        <f t="shared" si="1"/>
        <v>0</v>
      </c>
      <c r="Q20" s="716">
        <f t="shared" si="1"/>
        <v>0</v>
      </c>
      <c r="R20" s="717">
        <f t="shared" si="1"/>
        <v>254006.93181605128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163.95599999999999</v>
      </c>
      <c r="D22" s="711">
        <f>+landbouw!C8</f>
        <v>0</v>
      </c>
      <c r="E22" s="711">
        <f>+landbouw!D8</f>
        <v>112.300804</v>
      </c>
      <c r="F22" s="711">
        <f>+landbouw!E8</f>
        <v>1.7169827270265217</v>
      </c>
      <c r="G22" s="711">
        <f>+landbouw!F8</f>
        <v>842.10412177400269</v>
      </c>
      <c r="H22" s="711">
        <f>+landbouw!G8</f>
        <v>0</v>
      </c>
      <c r="I22" s="711">
        <f>+landbouw!H8</f>
        <v>0</v>
      </c>
      <c r="J22" s="711">
        <f>+landbouw!I8</f>
        <v>0</v>
      </c>
      <c r="K22" s="711">
        <f>+landbouw!J8</f>
        <v>14.642740362698241</v>
      </c>
      <c r="L22" s="711">
        <f>+landbouw!K8</f>
        <v>0</v>
      </c>
      <c r="M22" s="711">
        <f>+landbouw!L8</f>
        <v>0</v>
      </c>
      <c r="N22" s="711">
        <f>+landbouw!M8</f>
        <v>0</v>
      </c>
      <c r="O22" s="711">
        <f>+landbouw!N8</f>
        <v>0</v>
      </c>
      <c r="P22" s="711">
        <f>+landbouw!O8</f>
        <v>0</v>
      </c>
      <c r="Q22" s="712">
        <f>+landbouw!P8</f>
        <v>0</v>
      </c>
      <c r="R22" s="713">
        <f>SUM(C22:Q22)</f>
        <v>1134.7206488637275</v>
      </c>
      <c r="S22" s="67"/>
    </row>
    <row r="23" spans="1:19" s="457" customFormat="1" ht="17.25" thickTop="1" thickBot="1">
      <c r="A23" s="718" t="s">
        <v>116</v>
      </c>
      <c r="B23" s="852"/>
      <c r="C23" s="719">
        <f ca="1">C20+C15+C22</f>
        <v>98003.821442013825</v>
      </c>
      <c r="D23" s="719">
        <f t="shared" ref="D23:Q23" ca="1" si="2">D20+D15+D22</f>
        <v>0</v>
      </c>
      <c r="E23" s="719">
        <f t="shared" ca="1" si="2"/>
        <v>160355.92440683267</v>
      </c>
      <c r="F23" s="719">
        <f t="shared" si="2"/>
        <v>6154.4120282209351</v>
      </c>
      <c r="G23" s="719">
        <f t="shared" ca="1" si="2"/>
        <v>84287.246740624498</v>
      </c>
      <c r="H23" s="719">
        <f t="shared" si="2"/>
        <v>211193.13609484601</v>
      </c>
      <c r="I23" s="719">
        <f t="shared" si="2"/>
        <v>31176.505963765609</v>
      </c>
      <c r="J23" s="719">
        <f t="shared" si="2"/>
        <v>0</v>
      </c>
      <c r="K23" s="719">
        <f t="shared" si="2"/>
        <v>437.3695235849151</v>
      </c>
      <c r="L23" s="719">
        <f t="shared" si="2"/>
        <v>0</v>
      </c>
      <c r="M23" s="719">
        <f t="shared" ca="1" si="2"/>
        <v>0</v>
      </c>
      <c r="N23" s="719">
        <f t="shared" si="2"/>
        <v>10560.675007931486</v>
      </c>
      <c r="O23" s="719">
        <f t="shared" ca="1" si="2"/>
        <v>10926.58113538504</v>
      </c>
      <c r="P23" s="719">
        <f t="shared" si="2"/>
        <v>115.68666666666667</v>
      </c>
      <c r="Q23" s="720">
        <f t="shared" si="2"/>
        <v>629.19999999999993</v>
      </c>
      <c r="R23" s="721">
        <f ca="1">R20+R15+R22</f>
        <v>613840.55900987168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3852.8296446599429</v>
      </c>
      <c r="D36" s="702">
        <f ca="1">tertiair!C20</f>
        <v>0</v>
      </c>
      <c r="E36" s="702">
        <f ca="1">tertiair!D20</f>
        <v>3183.7492465680002</v>
      </c>
      <c r="F36" s="702">
        <f>tertiair!E20</f>
        <v>65.888226688688093</v>
      </c>
      <c r="G36" s="702">
        <f ca="1">tertiair!F20</f>
        <v>864.56764501214752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7967.0347629287789</v>
      </c>
    </row>
    <row r="37" spans="1:18">
      <c r="A37" s="873" t="s">
        <v>226</v>
      </c>
      <c r="B37" s="880"/>
      <c r="C37" s="702">
        <f ca="1">huishoudens!B12</f>
        <v>8399.9737059848667</v>
      </c>
      <c r="D37" s="702">
        <f ca="1">huishoudens!C12</f>
        <v>0</v>
      </c>
      <c r="E37" s="702">
        <f>huishoudens!D12</f>
        <v>10866.774285004001</v>
      </c>
      <c r="F37" s="702">
        <f>huishoudens!E12</f>
        <v>1010.0990912599665</v>
      </c>
      <c r="G37" s="702">
        <f>huishoudens!F12</f>
        <v>19677.549256027025</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39954.396338275859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8487.4703903721111</v>
      </c>
      <c r="D39" s="702">
        <f ca="1">industrie!C22</f>
        <v>0</v>
      </c>
      <c r="E39" s="702">
        <f>industrie!D22</f>
        <v>18316.865539147999</v>
      </c>
      <c r="F39" s="702">
        <f>industrie!E22</f>
        <v>78.754803407836022</v>
      </c>
      <c r="G39" s="702">
        <f>industrie!F22</f>
        <v>1737.7361781939126</v>
      </c>
      <c r="H39" s="702">
        <f>industrie!G22</f>
        <v>0</v>
      </c>
      <c r="I39" s="702">
        <f>industrie!H22</f>
        <v>0</v>
      </c>
      <c r="J39" s="702">
        <f>industrie!I22</f>
        <v>0</v>
      </c>
      <c r="K39" s="702">
        <f>industrie!J22</f>
        <v>149.64528126066475</v>
      </c>
      <c r="L39" s="702">
        <f>industrie!K22</f>
        <v>0</v>
      </c>
      <c r="M39" s="702">
        <f>industrie!L22</f>
        <v>0</v>
      </c>
      <c r="N39" s="702">
        <f>industrie!M22</f>
        <v>0</v>
      </c>
      <c r="O39" s="702">
        <f>industrie!N22</f>
        <v>0</v>
      </c>
      <c r="P39" s="702">
        <f>industrie!O22</f>
        <v>0</v>
      </c>
      <c r="Q39" s="812">
        <f>industrie!P22</f>
        <v>0</v>
      </c>
      <c r="R39" s="906">
        <f ca="1">SUM(C39:Q39)</f>
        <v>28770.47219238252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20740.273741016921</v>
      </c>
      <c r="D41" s="747">
        <f t="shared" ref="D41:R41" ca="1" si="4">SUM(D35:D40)</f>
        <v>0</v>
      </c>
      <c r="E41" s="747">
        <f t="shared" ca="1" si="4"/>
        <v>32367.389070720001</v>
      </c>
      <c r="F41" s="747">
        <f t="shared" si="4"/>
        <v>1154.7421213564908</v>
      </c>
      <c r="G41" s="747">
        <f t="shared" ca="1" si="4"/>
        <v>22279.853079233086</v>
      </c>
      <c r="H41" s="747">
        <f t="shared" si="4"/>
        <v>0</v>
      </c>
      <c r="I41" s="747">
        <f t="shared" si="4"/>
        <v>0</v>
      </c>
      <c r="J41" s="747">
        <f t="shared" si="4"/>
        <v>0</v>
      </c>
      <c r="K41" s="747">
        <f t="shared" si="4"/>
        <v>149.64528126066475</v>
      </c>
      <c r="L41" s="747">
        <f t="shared" si="4"/>
        <v>0</v>
      </c>
      <c r="M41" s="747">
        <f t="shared" ca="1" si="4"/>
        <v>0</v>
      </c>
      <c r="N41" s="747">
        <f t="shared" si="4"/>
        <v>0</v>
      </c>
      <c r="O41" s="747">
        <f t="shared" ca="1" si="4"/>
        <v>0</v>
      </c>
      <c r="P41" s="747">
        <f t="shared" si="4"/>
        <v>0</v>
      </c>
      <c r="Q41" s="748">
        <f t="shared" si="4"/>
        <v>0</v>
      </c>
      <c r="R41" s="749">
        <f t="shared" ca="1" si="4"/>
        <v>76691.903293587151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725.53305267030294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725.53305267030294</v>
      </c>
    </row>
    <row r="45" spans="1:18" ht="15" thickBot="1">
      <c r="A45" s="876" t="s">
        <v>308</v>
      </c>
      <c r="B45" s="886"/>
      <c r="C45" s="711">
        <f ca="1">transport!B18</f>
        <v>0.39538731071941691</v>
      </c>
      <c r="D45" s="711">
        <f>transport!C18</f>
        <v>0</v>
      </c>
      <c r="E45" s="711">
        <f>transport!D18</f>
        <v>1.8228970522016463</v>
      </c>
      <c r="F45" s="711">
        <f>transport!E18</f>
        <v>241.91965397062674</v>
      </c>
      <c r="G45" s="711">
        <f>transport!F18</f>
        <v>0</v>
      </c>
      <c r="H45" s="711">
        <f>transport!G18</f>
        <v>55663.034284653586</v>
      </c>
      <c r="I45" s="711">
        <f>transport!H18</f>
        <v>7762.9499849776366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63670.12220796477</v>
      </c>
    </row>
    <row r="46" spans="1:18" ht="15.75" thickBot="1">
      <c r="A46" s="874" t="s">
        <v>231</v>
      </c>
      <c r="B46" s="887"/>
      <c r="C46" s="747">
        <f t="shared" ref="C46:R46" ca="1" si="5">SUM(C43:C45)</f>
        <v>0.39538731071941691</v>
      </c>
      <c r="D46" s="747">
        <f t="shared" ca="1" si="5"/>
        <v>0</v>
      </c>
      <c r="E46" s="747">
        <f t="shared" si="5"/>
        <v>1.8228970522016463</v>
      </c>
      <c r="F46" s="747">
        <f t="shared" si="5"/>
        <v>241.91965397062674</v>
      </c>
      <c r="G46" s="747">
        <f t="shared" si="5"/>
        <v>0</v>
      </c>
      <c r="H46" s="747">
        <f t="shared" si="5"/>
        <v>56388.56733732389</v>
      </c>
      <c r="I46" s="747">
        <f t="shared" si="5"/>
        <v>7762.9499849776366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64395.655260635074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34.756355522785086</v>
      </c>
      <c r="D48" s="702">
        <f ca="1">+landbouw!C12</f>
        <v>0</v>
      </c>
      <c r="E48" s="702">
        <f>+landbouw!D12</f>
        <v>22.684762408000001</v>
      </c>
      <c r="F48" s="702">
        <f>+landbouw!E12</f>
        <v>0.38975507903502044</v>
      </c>
      <c r="G48" s="702">
        <f>+landbouw!F12</f>
        <v>224.84180051365874</v>
      </c>
      <c r="H48" s="702">
        <f>+landbouw!G12</f>
        <v>0</v>
      </c>
      <c r="I48" s="702">
        <f>+landbouw!H12</f>
        <v>0</v>
      </c>
      <c r="J48" s="702">
        <f>+landbouw!I12</f>
        <v>0</v>
      </c>
      <c r="K48" s="702">
        <f>+landbouw!J12</f>
        <v>5.1835300883951767</v>
      </c>
      <c r="L48" s="702">
        <f>+landbouw!K12</f>
        <v>0</v>
      </c>
      <c r="M48" s="702">
        <f>+landbouw!L12</f>
        <v>0</v>
      </c>
      <c r="N48" s="702">
        <f>+landbouw!M12</f>
        <v>0</v>
      </c>
      <c r="O48" s="702">
        <f>+landbouw!N12</f>
        <v>0</v>
      </c>
      <c r="P48" s="702">
        <f>+landbouw!O12</f>
        <v>0</v>
      </c>
      <c r="Q48" s="703">
        <f>+landbouw!P12</f>
        <v>0</v>
      </c>
      <c r="R48" s="745">
        <f ca="1">SUM(C48:Q48)</f>
        <v>287.85620361187404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20775.425483850428</v>
      </c>
      <c r="D53" s="757">
        <f t="shared" ref="D53:Q53" ca="1" si="6">D41+D46+D48</f>
        <v>0</v>
      </c>
      <c r="E53" s="757">
        <f t="shared" ca="1" si="6"/>
        <v>32391.896730180204</v>
      </c>
      <c r="F53" s="757">
        <f t="shared" si="6"/>
        <v>1397.0515304061526</v>
      </c>
      <c r="G53" s="757">
        <f t="shared" ca="1" si="6"/>
        <v>22504.694879746745</v>
      </c>
      <c r="H53" s="757">
        <f t="shared" si="6"/>
        <v>56388.56733732389</v>
      </c>
      <c r="I53" s="757">
        <f t="shared" si="6"/>
        <v>7762.9499849776366</v>
      </c>
      <c r="J53" s="757">
        <f t="shared" si="6"/>
        <v>0</v>
      </c>
      <c r="K53" s="757">
        <f t="shared" si="6"/>
        <v>154.82881134905992</v>
      </c>
      <c r="L53" s="757">
        <f t="shared" si="6"/>
        <v>0</v>
      </c>
      <c r="M53" s="757">
        <f t="shared" ca="1" si="6"/>
        <v>0</v>
      </c>
      <c r="N53" s="757">
        <f t="shared" si="6"/>
        <v>0</v>
      </c>
      <c r="O53" s="757">
        <f t="shared" ca="1" si="6"/>
        <v>0</v>
      </c>
      <c r="P53" s="757">
        <f>P41+P46+P48</f>
        <v>0</v>
      </c>
      <c r="Q53" s="758">
        <f t="shared" si="6"/>
        <v>0</v>
      </c>
      <c r="R53" s="759">
        <f ca="1">R41+R46+R48</f>
        <v>141375.41475783411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0.21198587134831959</v>
      </c>
      <c r="D55" s="823">
        <f t="shared" ca="1" si="7"/>
        <v>0</v>
      </c>
      <c r="E55" s="823">
        <f t="shared" ca="1" si="7"/>
        <v>0.20200000000000004</v>
      </c>
      <c r="F55" s="823">
        <f t="shared" si="7"/>
        <v>0.22700000000000004</v>
      </c>
      <c r="G55" s="823">
        <f t="shared" ca="1" si="7"/>
        <v>0.26700000000000007</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3997.3712888444697</v>
      </c>
      <c r="C66" s="779">
        <f>'lokale energieproductie'!B6</f>
        <v>3997.3712888444697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3997.3712888444697</v>
      </c>
      <c r="C69" s="787">
        <f>SUM(C64:C68)</f>
        <v>3997.3712888444697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39625.158283226563</v>
      </c>
      <c r="C4" s="461">
        <f>huishoudens!C8</f>
        <v>0</v>
      </c>
      <c r="D4" s="461">
        <f>huishoudens!D8</f>
        <v>53795.912302000004</v>
      </c>
      <c r="E4" s="461">
        <f>huishoudens!E8</f>
        <v>4449.7757324227596</v>
      </c>
      <c r="F4" s="461">
        <f>huishoudens!F8</f>
        <v>73698.686352161138</v>
      </c>
      <c r="G4" s="461">
        <f>huishoudens!G8</f>
        <v>0</v>
      </c>
      <c r="H4" s="461">
        <f>huishoudens!H8</f>
        <v>0</v>
      </c>
      <c r="I4" s="461">
        <f>huishoudens!I8</f>
        <v>0</v>
      </c>
      <c r="J4" s="461">
        <f>huishoudens!J8</f>
        <v>0</v>
      </c>
      <c r="K4" s="461">
        <f>huishoudens!K8</f>
        <v>0</v>
      </c>
      <c r="L4" s="461">
        <f>huishoudens!L8</f>
        <v>0</v>
      </c>
      <c r="M4" s="461">
        <f>huishoudens!M8</f>
        <v>0</v>
      </c>
      <c r="N4" s="461">
        <f>huishoudens!N8</f>
        <v>9948.6525725697866</v>
      </c>
      <c r="O4" s="461">
        <f>huishoudens!O8</f>
        <v>115.68666666666667</v>
      </c>
      <c r="P4" s="462">
        <f>huishoudens!P8</f>
        <v>591.06666666666661</v>
      </c>
      <c r="Q4" s="463">
        <f>SUM(B4:P4)</f>
        <v>182224.9385757136</v>
      </c>
    </row>
    <row r="5" spans="1:17">
      <c r="A5" s="460" t="s">
        <v>156</v>
      </c>
      <c r="B5" s="461">
        <f ca="1">tertiair!B16</f>
        <v>16870.872000000003</v>
      </c>
      <c r="C5" s="461">
        <f ca="1">tertiair!C16</f>
        <v>0</v>
      </c>
      <c r="D5" s="461">
        <f ca="1">tertiair!D16</f>
        <v>15761.134883999999</v>
      </c>
      <c r="E5" s="461">
        <f>tertiair!E16</f>
        <v>290.25650523651143</v>
      </c>
      <c r="F5" s="461">
        <f ca="1">tertiair!F16</f>
        <v>3238.0810674612267</v>
      </c>
      <c r="G5" s="461">
        <f>tertiair!G16</f>
        <v>0</v>
      </c>
      <c r="H5" s="461">
        <f>tertiair!H16</f>
        <v>0</v>
      </c>
      <c r="I5" s="461">
        <f>tertiair!I16</f>
        <v>0</v>
      </c>
      <c r="J5" s="461">
        <f>tertiair!J16</f>
        <v>0</v>
      </c>
      <c r="K5" s="461">
        <f>tertiair!K16</f>
        <v>0</v>
      </c>
      <c r="L5" s="461">
        <f ca="1">tertiair!L16</f>
        <v>0</v>
      </c>
      <c r="M5" s="461">
        <f>tertiair!M16</f>
        <v>0</v>
      </c>
      <c r="N5" s="461">
        <f ca="1">tertiair!N16</f>
        <v>485.45010209924448</v>
      </c>
      <c r="O5" s="461">
        <f>tertiair!O16</f>
        <v>0</v>
      </c>
      <c r="P5" s="462">
        <f>tertiair!P16</f>
        <v>38.133333333333333</v>
      </c>
      <c r="Q5" s="460">
        <f t="shared" ref="Q5:Q13" ca="1" si="0">SUM(B5:P5)</f>
        <v>36683.927892130319</v>
      </c>
    </row>
    <row r="6" spans="1:17">
      <c r="A6" s="460" t="s">
        <v>195</v>
      </c>
      <c r="B6" s="461">
        <f>'openbare verlichting'!B8</f>
        <v>1304.0640000000001</v>
      </c>
      <c r="C6" s="461"/>
      <c r="D6" s="461"/>
      <c r="E6" s="461"/>
      <c r="F6" s="461"/>
      <c r="G6" s="461"/>
      <c r="H6" s="461"/>
      <c r="I6" s="461"/>
      <c r="J6" s="461"/>
      <c r="K6" s="461"/>
      <c r="L6" s="461"/>
      <c r="M6" s="461"/>
      <c r="N6" s="461"/>
      <c r="O6" s="461"/>
      <c r="P6" s="462"/>
      <c r="Q6" s="460">
        <f t="shared" si="0"/>
        <v>1304.0640000000001</v>
      </c>
    </row>
    <row r="7" spans="1:17">
      <c r="A7" s="460" t="s">
        <v>112</v>
      </c>
      <c r="B7" s="461">
        <f>landbouw!B8</f>
        <v>163.95599999999999</v>
      </c>
      <c r="C7" s="461">
        <f>landbouw!C8</f>
        <v>0</v>
      </c>
      <c r="D7" s="461">
        <f>landbouw!D8</f>
        <v>112.300804</v>
      </c>
      <c r="E7" s="461">
        <f>landbouw!E8</f>
        <v>1.7169827270265217</v>
      </c>
      <c r="F7" s="461">
        <f>landbouw!F8</f>
        <v>842.10412177400269</v>
      </c>
      <c r="G7" s="461">
        <f>landbouw!G8</f>
        <v>0</v>
      </c>
      <c r="H7" s="461">
        <f>landbouw!H8</f>
        <v>0</v>
      </c>
      <c r="I7" s="461">
        <f>landbouw!I8</f>
        <v>0</v>
      </c>
      <c r="J7" s="461">
        <f>landbouw!J8</f>
        <v>14.642740362698241</v>
      </c>
      <c r="K7" s="461">
        <f>landbouw!K8</f>
        <v>0</v>
      </c>
      <c r="L7" s="461">
        <f>landbouw!L8</f>
        <v>0</v>
      </c>
      <c r="M7" s="461">
        <f>landbouw!M8</f>
        <v>0</v>
      </c>
      <c r="N7" s="461">
        <f>landbouw!N8</f>
        <v>0</v>
      </c>
      <c r="O7" s="461">
        <f>landbouw!O8</f>
        <v>0</v>
      </c>
      <c r="P7" s="462">
        <f>landbouw!P8</f>
        <v>0</v>
      </c>
      <c r="Q7" s="460">
        <f t="shared" si="0"/>
        <v>1134.7206488637275</v>
      </c>
    </row>
    <row r="8" spans="1:17">
      <c r="A8" s="460" t="s">
        <v>656</v>
      </c>
      <c r="B8" s="461">
        <f>industrie!B18</f>
        <v>40037.905999999995</v>
      </c>
      <c r="C8" s="461">
        <f>industrie!C18</f>
        <v>0</v>
      </c>
      <c r="D8" s="461">
        <f>industrie!D18</f>
        <v>90677.552173999997</v>
      </c>
      <c r="E8" s="461">
        <f>industrie!E18</f>
        <v>346.93745994641421</v>
      </c>
      <c r="F8" s="461">
        <f>industrie!F18</f>
        <v>6508.3751992281368</v>
      </c>
      <c r="G8" s="461">
        <f>industrie!G18</f>
        <v>0</v>
      </c>
      <c r="H8" s="461">
        <f>industrie!H18</f>
        <v>0</v>
      </c>
      <c r="I8" s="461">
        <f>industrie!I18</f>
        <v>0</v>
      </c>
      <c r="J8" s="461">
        <f>industrie!J18</f>
        <v>422.72678322221685</v>
      </c>
      <c r="K8" s="461">
        <f>industrie!K18</f>
        <v>0</v>
      </c>
      <c r="L8" s="461">
        <f>industrie!L18</f>
        <v>0</v>
      </c>
      <c r="M8" s="461">
        <f>industrie!M18</f>
        <v>0</v>
      </c>
      <c r="N8" s="461">
        <f>industrie!N18</f>
        <v>492.47846071600929</v>
      </c>
      <c r="O8" s="461">
        <f>industrie!O18</f>
        <v>0</v>
      </c>
      <c r="P8" s="462">
        <f>industrie!P18</f>
        <v>0</v>
      </c>
      <c r="Q8" s="460">
        <f t="shared" si="0"/>
        <v>138485.97607711278</v>
      </c>
    </row>
    <row r="9" spans="1:17" s="466" customFormat="1">
      <c r="A9" s="464" t="s">
        <v>574</v>
      </c>
      <c r="B9" s="465">
        <f>transport!B14</f>
        <v>1.8651587872558995</v>
      </c>
      <c r="C9" s="465">
        <f>transport!C14</f>
        <v>0</v>
      </c>
      <c r="D9" s="465">
        <f>transport!D14</f>
        <v>9.0242428326814164</v>
      </c>
      <c r="E9" s="465">
        <f>transport!E14</f>
        <v>1065.7253478882235</v>
      </c>
      <c r="F9" s="465">
        <f>transport!F14</f>
        <v>0</v>
      </c>
      <c r="G9" s="465">
        <f>transport!G14</f>
        <v>208475.78383765387</v>
      </c>
      <c r="H9" s="465">
        <f>transport!H14</f>
        <v>31176.505963765609</v>
      </c>
      <c r="I9" s="465">
        <f>transport!I14</f>
        <v>0</v>
      </c>
      <c r="J9" s="465">
        <f>transport!J14</f>
        <v>0</v>
      </c>
      <c r="K9" s="465">
        <f>transport!K14</f>
        <v>0</v>
      </c>
      <c r="L9" s="465">
        <f>transport!L14</f>
        <v>0</v>
      </c>
      <c r="M9" s="465">
        <f>transport!M14</f>
        <v>10444.846086680591</v>
      </c>
      <c r="N9" s="465">
        <f>transport!N14</f>
        <v>0</v>
      </c>
      <c r="O9" s="465">
        <f>transport!O14</f>
        <v>0</v>
      </c>
      <c r="P9" s="465">
        <f>transport!P14</f>
        <v>0</v>
      </c>
      <c r="Q9" s="464">
        <f>SUM(B9:P9)</f>
        <v>251173.75063760823</v>
      </c>
    </row>
    <row r="10" spans="1:17">
      <c r="A10" s="460" t="s">
        <v>564</v>
      </c>
      <c r="B10" s="461">
        <f>transport!B54</f>
        <v>0</v>
      </c>
      <c r="C10" s="461">
        <f>transport!C54</f>
        <v>0</v>
      </c>
      <c r="D10" s="461">
        <f>transport!D54</f>
        <v>0</v>
      </c>
      <c r="E10" s="461">
        <f>transport!E54</f>
        <v>0</v>
      </c>
      <c r="F10" s="461">
        <f>transport!F54</f>
        <v>0</v>
      </c>
      <c r="G10" s="461">
        <f>transport!G54</f>
        <v>2717.3522571921458</v>
      </c>
      <c r="H10" s="461">
        <f>transport!H54</f>
        <v>0</v>
      </c>
      <c r="I10" s="461">
        <f>transport!I54</f>
        <v>0</v>
      </c>
      <c r="J10" s="461">
        <f>transport!J54</f>
        <v>0</v>
      </c>
      <c r="K10" s="461">
        <f>transport!K54</f>
        <v>0</v>
      </c>
      <c r="L10" s="461">
        <f>transport!L54</f>
        <v>0</v>
      </c>
      <c r="M10" s="461">
        <f>transport!M54</f>
        <v>115.82892125089607</v>
      </c>
      <c r="N10" s="461">
        <f>transport!N54</f>
        <v>0</v>
      </c>
      <c r="O10" s="461">
        <f>transport!O54</f>
        <v>0</v>
      </c>
      <c r="P10" s="462">
        <f>transport!P54</f>
        <v>0</v>
      </c>
      <c r="Q10" s="460">
        <f t="shared" si="0"/>
        <v>2833.181178443042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98003.82144201381</v>
      </c>
      <c r="C14" s="471">
        <f t="shared" ref="C14:Q14" ca="1" si="1">SUM(C4:C13)</f>
        <v>0</v>
      </c>
      <c r="D14" s="471">
        <f t="shared" ca="1" si="1"/>
        <v>160355.92440683267</v>
      </c>
      <c r="E14" s="471">
        <f t="shared" si="1"/>
        <v>6154.4120282209351</v>
      </c>
      <c r="F14" s="471">
        <f t="shared" ca="1" si="1"/>
        <v>84287.246740624498</v>
      </c>
      <c r="G14" s="471">
        <f t="shared" si="1"/>
        <v>211193.13609484601</v>
      </c>
      <c r="H14" s="471">
        <f t="shared" si="1"/>
        <v>31176.505963765609</v>
      </c>
      <c r="I14" s="471">
        <f t="shared" si="1"/>
        <v>0</v>
      </c>
      <c r="J14" s="471">
        <f t="shared" si="1"/>
        <v>437.3695235849151</v>
      </c>
      <c r="K14" s="471">
        <f t="shared" si="1"/>
        <v>0</v>
      </c>
      <c r="L14" s="471">
        <f t="shared" ca="1" si="1"/>
        <v>0</v>
      </c>
      <c r="M14" s="471">
        <f t="shared" si="1"/>
        <v>10560.675007931486</v>
      </c>
      <c r="N14" s="471">
        <f t="shared" ca="1" si="1"/>
        <v>10926.58113538504</v>
      </c>
      <c r="O14" s="471">
        <f t="shared" si="1"/>
        <v>115.68666666666667</v>
      </c>
      <c r="P14" s="472">
        <f t="shared" si="1"/>
        <v>629.19999999999993</v>
      </c>
      <c r="Q14" s="472">
        <f t="shared" ca="1" si="1"/>
        <v>613840.55900987168</v>
      </c>
    </row>
    <row r="16" spans="1:17">
      <c r="A16" s="474" t="s">
        <v>569</v>
      </c>
      <c r="B16" s="828">
        <f ca="1">huishoudens!B10</f>
        <v>0.21198587134831959</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8399.9737059848667</v>
      </c>
      <c r="C21" s="461">
        <f t="shared" ref="C21:C30" ca="1" si="3">C4*$C$16</f>
        <v>0</v>
      </c>
      <c r="D21" s="461">
        <f t="shared" ref="D21:D30" si="4">D4*$D$16</f>
        <v>10866.774285004001</v>
      </c>
      <c r="E21" s="461">
        <f t="shared" ref="E21:E30" si="5">E4*$E$16</f>
        <v>1010.0990912599665</v>
      </c>
      <c r="F21" s="461">
        <f t="shared" ref="F21:F30" si="6">F4*$F$16</f>
        <v>19677.549256027025</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39954.396338275859</v>
      </c>
    </row>
    <row r="22" spans="1:17">
      <c r="A22" s="460" t="s">
        <v>156</v>
      </c>
      <c r="B22" s="461">
        <f t="shared" ca="1" si="2"/>
        <v>3576.3865013259679</v>
      </c>
      <c r="C22" s="461">
        <f t="shared" ca="1" si="3"/>
        <v>0</v>
      </c>
      <c r="D22" s="461">
        <f t="shared" ca="1" si="4"/>
        <v>3183.7492465680002</v>
      </c>
      <c r="E22" s="461">
        <f t="shared" si="5"/>
        <v>65.888226688688093</v>
      </c>
      <c r="F22" s="461">
        <f t="shared" ca="1" si="6"/>
        <v>864.56764501214752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7690.5916195948039</v>
      </c>
    </row>
    <row r="23" spans="1:17">
      <c r="A23" s="460" t="s">
        <v>195</v>
      </c>
      <c r="B23" s="461">
        <f t="shared" ca="1" si="2"/>
        <v>276.44314333397506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276.44314333397506</v>
      </c>
    </row>
    <row r="24" spans="1:17">
      <c r="A24" s="460" t="s">
        <v>112</v>
      </c>
      <c r="B24" s="461">
        <f t="shared" ca="1" si="2"/>
        <v>34.756355522785086</v>
      </c>
      <c r="C24" s="461">
        <f t="shared" ca="1" si="3"/>
        <v>0</v>
      </c>
      <c r="D24" s="461">
        <f t="shared" si="4"/>
        <v>22.684762408000001</v>
      </c>
      <c r="E24" s="461">
        <f t="shared" si="5"/>
        <v>0.38975507903502044</v>
      </c>
      <c r="F24" s="461">
        <f t="shared" si="6"/>
        <v>224.84180051365874</v>
      </c>
      <c r="G24" s="461">
        <f t="shared" si="7"/>
        <v>0</v>
      </c>
      <c r="H24" s="461">
        <f t="shared" si="8"/>
        <v>0</v>
      </c>
      <c r="I24" s="461">
        <f t="shared" si="9"/>
        <v>0</v>
      </c>
      <c r="J24" s="461">
        <f t="shared" si="10"/>
        <v>5.1835300883951767</v>
      </c>
      <c r="K24" s="461">
        <f t="shared" si="11"/>
        <v>0</v>
      </c>
      <c r="L24" s="461">
        <f t="shared" si="12"/>
        <v>0</v>
      </c>
      <c r="M24" s="461">
        <f t="shared" si="13"/>
        <v>0</v>
      </c>
      <c r="N24" s="461">
        <f t="shared" si="14"/>
        <v>0</v>
      </c>
      <c r="O24" s="461">
        <f t="shared" si="15"/>
        <v>0</v>
      </c>
      <c r="P24" s="462">
        <f t="shared" si="16"/>
        <v>0</v>
      </c>
      <c r="Q24" s="460">
        <f t="shared" ca="1" si="17"/>
        <v>287.85620361187404</v>
      </c>
    </row>
    <row r="25" spans="1:17">
      <c r="A25" s="460" t="s">
        <v>656</v>
      </c>
      <c r="B25" s="461">
        <f t="shared" ca="1" si="2"/>
        <v>8487.4703903721111</v>
      </c>
      <c r="C25" s="461">
        <f t="shared" ca="1" si="3"/>
        <v>0</v>
      </c>
      <c r="D25" s="461">
        <f t="shared" si="4"/>
        <v>18316.865539147999</v>
      </c>
      <c r="E25" s="461">
        <f t="shared" si="5"/>
        <v>78.754803407836022</v>
      </c>
      <c r="F25" s="461">
        <f t="shared" si="6"/>
        <v>1737.7361781939126</v>
      </c>
      <c r="G25" s="461">
        <f t="shared" si="7"/>
        <v>0</v>
      </c>
      <c r="H25" s="461">
        <f t="shared" si="8"/>
        <v>0</v>
      </c>
      <c r="I25" s="461">
        <f t="shared" si="9"/>
        <v>0</v>
      </c>
      <c r="J25" s="461">
        <f t="shared" si="10"/>
        <v>149.64528126066475</v>
      </c>
      <c r="K25" s="461">
        <f t="shared" si="11"/>
        <v>0</v>
      </c>
      <c r="L25" s="461">
        <f t="shared" si="12"/>
        <v>0</v>
      </c>
      <c r="M25" s="461">
        <f t="shared" si="13"/>
        <v>0</v>
      </c>
      <c r="N25" s="461">
        <f t="shared" si="14"/>
        <v>0</v>
      </c>
      <c r="O25" s="461">
        <f t="shared" si="15"/>
        <v>0</v>
      </c>
      <c r="P25" s="462">
        <f t="shared" si="16"/>
        <v>0</v>
      </c>
      <c r="Q25" s="460">
        <f t="shared" ca="1" si="17"/>
        <v>28770.47219238252</v>
      </c>
    </row>
    <row r="26" spans="1:17" s="466" customFormat="1">
      <c r="A26" s="464" t="s">
        <v>574</v>
      </c>
      <c r="B26" s="822">
        <f t="shared" ca="1" si="2"/>
        <v>0.39538731071941691</v>
      </c>
      <c r="C26" s="465">
        <f t="shared" ca="1" si="3"/>
        <v>0</v>
      </c>
      <c r="D26" s="465">
        <f t="shared" si="4"/>
        <v>1.8228970522016463</v>
      </c>
      <c r="E26" s="465">
        <f t="shared" si="5"/>
        <v>241.91965397062674</v>
      </c>
      <c r="F26" s="465">
        <f t="shared" si="6"/>
        <v>0</v>
      </c>
      <c r="G26" s="465">
        <f t="shared" si="7"/>
        <v>55663.034284653586</v>
      </c>
      <c r="H26" s="465">
        <f t="shared" si="8"/>
        <v>7762.9499849776366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63670.12220796477</v>
      </c>
    </row>
    <row r="27" spans="1:17">
      <c r="A27" s="460" t="s">
        <v>564</v>
      </c>
      <c r="B27" s="461">
        <f t="shared" ca="1" si="2"/>
        <v>0</v>
      </c>
      <c r="C27" s="461">
        <f t="shared" ca="1" si="3"/>
        <v>0</v>
      </c>
      <c r="D27" s="461">
        <f t="shared" si="4"/>
        <v>0</v>
      </c>
      <c r="E27" s="461">
        <f t="shared" si="5"/>
        <v>0</v>
      </c>
      <c r="F27" s="461">
        <f t="shared" si="6"/>
        <v>0</v>
      </c>
      <c r="G27" s="461">
        <f t="shared" si="7"/>
        <v>725.53305267030294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725.53305267030294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20775.425483850424</v>
      </c>
      <c r="C31" s="471">
        <f t="shared" ca="1" si="18"/>
        <v>0</v>
      </c>
      <c r="D31" s="471">
        <f t="shared" ca="1" si="18"/>
        <v>32391.896730180204</v>
      </c>
      <c r="E31" s="471">
        <f t="shared" si="18"/>
        <v>1397.0515304061526</v>
      </c>
      <c r="F31" s="471">
        <f t="shared" ca="1" si="18"/>
        <v>22504.694879746741</v>
      </c>
      <c r="G31" s="471">
        <f t="shared" si="18"/>
        <v>56388.56733732389</v>
      </c>
      <c r="H31" s="471">
        <f t="shared" si="18"/>
        <v>7762.9499849776366</v>
      </c>
      <c r="I31" s="471">
        <f t="shared" si="18"/>
        <v>0</v>
      </c>
      <c r="J31" s="471">
        <f t="shared" si="18"/>
        <v>154.82881134905992</v>
      </c>
      <c r="K31" s="471">
        <f t="shared" si="18"/>
        <v>0</v>
      </c>
      <c r="L31" s="471">
        <f t="shared" ca="1" si="18"/>
        <v>0</v>
      </c>
      <c r="M31" s="471">
        <f t="shared" si="18"/>
        <v>0</v>
      </c>
      <c r="N31" s="471">
        <f t="shared" ca="1" si="18"/>
        <v>0</v>
      </c>
      <c r="O31" s="471">
        <f t="shared" si="18"/>
        <v>0</v>
      </c>
      <c r="P31" s="472">
        <f t="shared" si="18"/>
        <v>0</v>
      </c>
      <c r="Q31" s="472">
        <f t="shared" ca="1" si="18"/>
        <v>141375.41475783411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0.21198587134831959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0.21198587134831959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0.21198587134831959</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71066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8091</v>
      </c>
      <c r="C9" s="336">
        <v>8865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881</v>
      </c>
    </row>
    <row r="15" spans="1:6">
      <c r="A15" s="1194" t="s">
        <v>185</v>
      </c>
      <c r="B15" s="333">
        <v>4</v>
      </c>
    </row>
    <row r="16" spans="1:6">
      <c r="A16" s="1194" t="s">
        <v>6</v>
      </c>
      <c r="B16" s="333">
        <v>31</v>
      </c>
    </row>
    <row r="17" spans="1:6">
      <c r="A17" s="1194" t="s">
        <v>7</v>
      </c>
      <c r="B17" s="333">
        <v>152</v>
      </c>
    </row>
    <row r="18" spans="1:6">
      <c r="A18" s="1194" t="s">
        <v>8</v>
      </c>
      <c r="B18" s="333">
        <v>139</v>
      </c>
    </row>
    <row r="19" spans="1:6">
      <c r="A19" s="1194" t="s">
        <v>9</v>
      </c>
      <c r="B19" s="333">
        <v>156</v>
      </c>
    </row>
    <row r="20" spans="1:6">
      <c r="A20" s="1194" t="s">
        <v>10</v>
      </c>
      <c r="B20" s="333">
        <v>174</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0</v>
      </c>
    </row>
    <row r="29" spans="1:6">
      <c r="A29" s="1194" t="s">
        <v>888</v>
      </c>
      <c r="B29" s="333">
        <v>38</v>
      </c>
    </row>
    <row r="30" spans="1:6">
      <c r="A30" s="1190" t="s">
        <v>889</v>
      </c>
      <c r="B30" s="1190">
        <v>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5</v>
      </c>
      <c r="F36" s="333">
        <v>383049</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3330</v>
      </c>
      <c r="D39" s="333">
        <v>59640701</v>
      </c>
      <c r="E39" s="333">
        <v>8143</v>
      </c>
      <c r="F39" s="333">
        <v>36738424</v>
      </c>
    </row>
    <row r="40" spans="1:6">
      <c r="A40" s="1194" t="s">
        <v>30</v>
      </c>
      <c r="B40" s="1194" t="s">
        <v>29</v>
      </c>
      <c r="C40" s="333">
        <v>0</v>
      </c>
      <c r="D40" s="333">
        <v>0</v>
      </c>
      <c r="E40" s="333">
        <v>0</v>
      </c>
      <c r="F40" s="333">
        <v>0</v>
      </c>
    </row>
    <row r="41" spans="1:6">
      <c r="A41" s="1194" t="s">
        <v>32</v>
      </c>
      <c r="B41" s="1194" t="s">
        <v>33</v>
      </c>
      <c r="C41" s="333">
        <v>53</v>
      </c>
      <c r="D41" s="333">
        <v>1880118</v>
      </c>
      <c r="E41" s="333">
        <v>132</v>
      </c>
      <c r="F41" s="333">
        <v>1419354</v>
      </c>
    </row>
    <row r="42" spans="1:6">
      <c r="A42" s="1194" t="s">
        <v>32</v>
      </c>
      <c r="B42" s="1194" t="s">
        <v>34</v>
      </c>
      <c r="C42" s="333">
        <v>0</v>
      </c>
      <c r="D42" s="333">
        <v>0</v>
      </c>
      <c r="E42" s="333">
        <v>0</v>
      </c>
      <c r="F42" s="333">
        <v>0</v>
      </c>
    </row>
    <row r="43" spans="1:6">
      <c r="A43" s="1194" t="s">
        <v>32</v>
      </c>
      <c r="B43" s="1194" t="s">
        <v>35</v>
      </c>
      <c r="C43" s="333">
        <v>3</v>
      </c>
      <c r="D43" s="333">
        <v>210590</v>
      </c>
      <c r="E43" s="333">
        <v>0</v>
      </c>
      <c r="F43" s="333">
        <v>0</v>
      </c>
    </row>
    <row r="44" spans="1:6">
      <c r="A44" s="1194" t="s">
        <v>32</v>
      </c>
      <c r="B44" s="1194" t="s">
        <v>36</v>
      </c>
      <c r="C44" s="333">
        <v>8</v>
      </c>
      <c r="D44" s="333">
        <v>767101</v>
      </c>
      <c r="E44" s="333">
        <v>26</v>
      </c>
      <c r="F44" s="333">
        <v>15969895</v>
      </c>
    </row>
    <row r="45" spans="1:6">
      <c r="A45" s="1194" t="s">
        <v>32</v>
      </c>
      <c r="B45" s="1194" t="s">
        <v>37</v>
      </c>
      <c r="C45" s="333">
        <v>4</v>
      </c>
      <c r="D45" s="333">
        <v>233018</v>
      </c>
      <c r="E45" s="333">
        <v>6</v>
      </c>
      <c r="F45" s="333">
        <v>162119</v>
      </c>
    </row>
    <row r="46" spans="1:6">
      <c r="A46" s="1194" t="s">
        <v>32</v>
      </c>
      <c r="B46" s="1194" t="s">
        <v>38</v>
      </c>
      <c r="C46" s="333">
        <v>0</v>
      </c>
      <c r="D46" s="333">
        <v>0</v>
      </c>
      <c r="E46" s="333">
        <v>0</v>
      </c>
      <c r="F46" s="333">
        <v>0</v>
      </c>
    </row>
    <row r="47" spans="1:6">
      <c r="A47" s="1194" t="s">
        <v>32</v>
      </c>
      <c r="B47" s="1194" t="s">
        <v>39</v>
      </c>
      <c r="C47" s="333">
        <v>3</v>
      </c>
      <c r="D47" s="333">
        <v>136804</v>
      </c>
      <c r="E47" s="333">
        <v>6</v>
      </c>
      <c r="F47" s="333">
        <v>93899</v>
      </c>
    </row>
    <row r="48" spans="1:6">
      <c r="A48" s="1194" t="s">
        <v>32</v>
      </c>
      <c r="B48" s="1194" t="s">
        <v>29</v>
      </c>
      <c r="C48" s="333">
        <v>1</v>
      </c>
      <c r="D48" s="333">
        <v>193748</v>
      </c>
      <c r="E48" s="333">
        <v>2</v>
      </c>
      <c r="F48" s="333">
        <v>58276</v>
      </c>
    </row>
    <row r="49" spans="1:6">
      <c r="A49" s="1194" t="s">
        <v>32</v>
      </c>
      <c r="B49" s="1194" t="s">
        <v>40</v>
      </c>
      <c r="C49" s="333">
        <v>0</v>
      </c>
      <c r="D49" s="333">
        <v>0</v>
      </c>
      <c r="E49" s="333">
        <v>4</v>
      </c>
      <c r="F49" s="333">
        <v>47457</v>
      </c>
    </row>
    <row r="50" spans="1:6">
      <c r="A50" s="1194" t="s">
        <v>32</v>
      </c>
      <c r="B50" s="1194" t="s">
        <v>41</v>
      </c>
      <c r="C50" s="333">
        <v>8</v>
      </c>
      <c r="D50" s="333">
        <v>97108058</v>
      </c>
      <c r="E50" s="333">
        <v>16</v>
      </c>
      <c r="F50" s="333">
        <v>22286906</v>
      </c>
    </row>
    <row r="51" spans="1:6">
      <c r="A51" s="1194" t="s">
        <v>42</v>
      </c>
      <c r="B51" s="1194" t="s">
        <v>43</v>
      </c>
      <c r="C51" s="333">
        <v>5</v>
      </c>
      <c r="D51" s="333">
        <v>124502</v>
      </c>
      <c r="E51" s="333">
        <v>19</v>
      </c>
      <c r="F51" s="333">
        <v>163956</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84</v>
      </c>
      <c r="F54" s="333">
        <v>1304064</v>
      </c>
    </row>
    <row r="55" spans="1:6">
      <c r="A55" s="1194" t="s">
        <v>46</v>
      </c>
      <c r="B55" s="1194" t="s">
        <v>29</v>
      </c>
      <c r="C55" s="333">
        <v>0</v>
      </c>
      <c r="D55" s="333">
        <v>0</v>
      </c>
      <c r="E55" s="333">
        <v>0</v>
      </c>
      <c r="F55" s="333">
        <v>0</v>
      </c>
    </row>
    <row r="56" spans="1:6">
      <c r="A56" s="1194" t="s">
        <v>48</v>
      </c>
      <c r="B56" s="1194" t="s">
        <v>29</v>
      </c>
      <c r="C56" s="333">
        <v>51</v>
      </c>
      <c r="D56" s="333">
        <v>2709623</v>
      </c>
      <c r="E56" s="333">
        <v>146</v>
      </c>
      <c r="F56" s="333">
        <v>1238806</v>
      </c>
    </row>
    <row r="57" spans="1:6">
      <c r="A57" s="1194" t="s">
        <v>49</v>
      </c>
      <c r="B57" s="1194" t="s">
        <v>50</v>
      </c>
      <c r="C57" s="333">
        <v>37</v>
      </c>
      <c r="D57" s="333">
        <v>1311919</v>
      </c>
      <c r="E57" s="333">
        <v>75</v>
      </c>
      <c r="F57" s="333">
        <v>1903114</v>
      </c>
    </row>
    <row r="58" spans="1:6">
      <c r="A58" s="1194" t="s">
        <v>49</v>
      </c>
      <c r="B58" s="1194" t="s">
        <v>51</v>
      </c>
      <c r="C58" s="333">
        <v>19</v>
      </c>
      <c r="D58" s="333">
        <v>1509664</v>
      </c>
      <c r="E58" s="333">
        <v>36</v>
      </c>
      <c r="F58" s="333">
        <v>1679592</v>
      </c>
    </row>
    <row r="59" spans="1:6">
      <c r="A59" s="1194" t="s">
        <v>49</v>
      </c>
      <c r="B59" s="1194" t="s">
        <v>52</v>
      </c>
      <c r="C59" s="333">
        <v>84</v>
      </c>
      <c r="D59" s="333">
        <v>6322400</v>
      </c>
      <c r="E59" s="333">
        <v>204</v>
      </c>
      <c r="F59" s="333">
        <v>7246804</v>
      </c>
    </row>
    <row r="60" spans="1:6">
      <c r="A60" s="1194" t="s">
        <v>49</v>
      </c>
      <c r="B60" s="1194" t="s">
        <v>53</v>
      </c>
      <c r="C60" s="333">
        <v>33</v>
      </c>
      <c r="D60" s="333">
        <v>1823614</v>
      </c>
      <c r="E60" s="333">
        <v>63</v>
      </c>
      <c r="F60" s="333">
        <v>2040093</v>
      </c>
    </row>
    <row r="61" spans="1:6">
      <c r="A61" s="1194" t="s">
        <v>49</v>
      </c>
      <c r="B61" s="1194" t="s">
        <v>54</v>
      </c>
      <c r="C61" s="333">
        <v>100</v>
      </c>
      <c r="D61" s="333">
        <v>4808671</v>
      </c>
      <c r="E61" s="333">
        <v>352</v>
      </c>
      <c r="F61" s="333">
        <v>3580907</v>
      </c>
    </row>
    <row r="62" spans="1:6">
      <c r="A62" s="1194" t="s">
        <v>49</v>
      </c>
      <c r="B62" s="1194" t="s">
        <v>55</v>
      </c>
      <c r="C62" s="333">
        <v>12</v>
      </c>
      <c r="D62" s="333">
        <v>1697274</v>
      </c>
      <c r="E62" s="333">
        <v>15</v>
      </c>
      <c r="F62" s="333">
        <v>420362</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8</v>
      </c>
      <c r="D68" s="333">
        <v>210048</v>
      </c>
      <c r="E68" s="333">
        <v>10</v>
      </c>
      <c r="F68" s="333">
        <v>109869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51550324</v>
      </c>
      <c r="E73" s="333">
        <v>67516093.676789179</v>
      </c>
      <c r="F73" s="333">
        <v>58163892</v>
      </c>
    </row>
    <row r="74" spans="1:6">
      <c r="A74" s="1194" t="s">
        <v>64</v>
      </c>
      <c r="B74" s="1194" t="s">
        <v>775</v>
      </c>
      <c r="C74" s="1205" t="s">
        <v>776</v>
      </c>
      <c r="D74" s="333">
        <v>5291633.3802462909</v>
      </c>
      <c r="E74" s="333">
        <v>7060902.17430868</v>
      </c>
      <c r="F74" s="333">
        <v>6345640.9673248483</v>
      </c>
    </row>
    <row r="75" spans="1:6">
      <c r="A75" s="1194" t="s">
        <v>65</v>
      </c>
      <c r="B75" s="1194" t="s">
        <v>773</v>
      </c>
      <c r="C75" s="1205" t="s">
        <v>777</v>
      </c>
      <c r="D75" s="333">
        <v>29045382</v>
      </c>
      <c r="E75" s="333">
        <v>37900525.834290467</v>
      </c>
      <c r="F75" s="333">
        <v>32683799</v>
      </c>
    </row>
    <row r="76" spans="1:6">
      <c r="A76" s="1194" t="s">
        <v>65</v>
      </c>
      <c r="B76" s="1194" t="s">
        <v>775</v>
      </c>
      <c r="C76" s="1205" t="s">
        <v>778</v>
      </c>
      <c r="D76" s="333">
        <v>1051761.3802462912</v>
      </c>
      <c r="E76" s="333">
        <v>1587892.4268159526</v>
      </c>
      <c r="F76" s="333">
        <v>1381983.9673248488</v>
      </c>
    </row>
    <row r="77" spans="1:6">
      <c r="A77" s="1194" t="s">
        <v>66</v>
      </c>
      <c r="B77" s="1194" t="s">
        <v>773</v>
      </c>
      <c r="C77" s="1205" t="s">
        <v>779</v>
      </c>
      <c r="D77" s="333">
        <v>153015538</v>
      </c>
      <c r="E77" s="333">
        <v>183976036.38656995</v>
      </c>
      <c r="F77" s="333">
        <v>162471174</v>
      </c>
    </row>
    <row r="78" spans="1:6">
      <c r="A78" s="1190" t="s">
        <v>66</v>
      </c>
      <c r="B78" s="1190" t="s">
        <v>775</v>
      </c>
      <c r="C78" s="1190" t="s">
        <v>780</v>
      </c>
      <c r="D78" s="1190">
        <v>27128888</v>
      </c>
      <c r="E78" s="1190">
        <v>29989937.306278165</v>
      </c>
      <c r="F78" s="336">
        <v>27941977</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745025.23950741766</v>
      </c>
      <c r="C83" s="333">
        <v>681239.64755568455</v>
      </c>
      <c r="D83" s="333">
        <v>693054.06535030273</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2886.7342832265663</v>
      </c>
    </row>
    <row r="92" spans="1:6">
      <c r="A92" s="1190" t="s">
        <v>69</v>
      </c>
      <c r="B92" s="336">
        <v>1110.6370056179037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1089</v>
      </c>
    </row>
    <row r="98" spans="1:6">
      <c r="A98" s="1194" t="s">
        <v>72</v>
      </c>
      <c r="B98" s="333">
        <v>2</v>
      </c>
    </row>
    <row r="99" spans="1:6">
      <c r="A99" s="1194" t="s">
        <v>73</v>
      </c>
      <c r="B99" s="333">
        <v>66</v>
      </c>
    </row>
    <row r="100" spans="1:6">
      <c r="A100" s="1194" t="s">
        <v>74</v>
      </c>
      <c r="B100" s="333">
        <v>340</v>
      </c>
    </row>
    <row r="101" spans="1:6">
      <c r="A101" s="1194" t="s">
        <v>75</v>
      </c>
      <c r="B101" s="333">
        <v>51</v>
      </c>
    </row>
    <row r="102" spans="1:6">
      <c r="A102" s="1194" t="s">
        <v>76</v>
      </c>
      <c r="B102" s="333">
        <v>60</v>
      </c>
    </row>
    <row r="103" spans="1:6">
      <c r="A103" s="1194" t="s">
        <v>77</v>
      </c>
      <c r="B103" s="333">
        <v>141</v>
      </c>
    </row>
    <row r="104" spans="1:6">
      <c r="A104" s="1194" t="s">
        <v>78</v>
      </c>
      <c r="B104" s="333">
        <v>5249</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22</v>
      </c>
      <c r="C123" s="333">
        <v>14</v>
      </c>
    </row>
    <row r="124" spans="1:6">
      <c r="A124" s="1190" t="s">
        <v>89</v>
      </c>
      <c r="B124" s="333">
        <v>0</v>
      </c>
      <c r="C124" s="333">
        <v>2</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58</v>
      </c>
    </row>
    <row r="130" spans="1:6">
      <c r="A130" s="1194" t="s">
        <v>296</v>
      </c>
      <c r="B130" s="333">
        <v>0</v>
      </c>
    </row>
    <row r="131" spans="1:6">
      <c r="A131" s="1194" t="s">
        <v>297</v>
      </c>
      <c r="B131" s="333">
        <v>2</v>
      </c>
    </row>
    <row r="132" spans="1:6">
      <c r="A132" s="1190" t="s">
        <v>298</v>
      </c>
      <c r="B132" s="336">
        <v>9</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98003.821442013825</v>
      </c>
      <c r="C3" s="43" t="s">
        <v>171</v>
      </c>
      <c r="D3" s="43"/>
      <c r="E3" s="156"/>
      <c r="F3" s="43"/>
      <c r="G3" s="43"/>
      <c r="H3" s="43"/>
      <c r="I3" s="43"/>
      <c r="J3" s="43"/>
      <c r="K3" s="96"/>
    </row>
    <row r="4" spans="1:11">
      <c r="A4" s="364" t="s">
        <v>172</v>
      </c>
      <c r="B4" s="49">
        <f>IF(ISERROR('SEAP template'!B69),0,'SEAP template'!B69)</f>
        <v>3997.3712888444697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0.21198587134831959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1304.0640000000001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1304.0640000000001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0.21198587134831959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276.44314333397506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36738.423999999999</v>
      </c>
      <c r="C5" s="17">
        <f>IF(ISERROR('Eigen informatie GS &amp; warmtenet'!B57),0,'Eigen informatie GS &amp; warmtenet'!B57)</f>
        <v>0</v>
      </c>
      <c r="D5" s="30">
        <f>(SUM(HH_hh_gas_kWh,HH_rest_gas_kWh)/1000)*0.902</f>
        <v>53795.912302000004</v>
      </c>
      <c r="E5" s="17">
        <f>B46*B57</f>
        <v>4449.7757324227596</v>
      </c>
      <c r="F5" s="17">
        <f>B51*B62</f>
        <v>73698.686352161138</v>
      </c>
      <c r="G5" s="18"/>
      <c r="H5" s="17"/>
      <c r="I5" s="17"/>
      <c r="J5" s="17">
        <f>B50*B61+C50*C61</f>
        <v>0</v>
      </c>
      <c r="K5" s="17"/>
      <c r="L5" s="17"/>
      <c r="M5" s="17"/>
      <c r="N5" s="17">
        <f>B48*B59+C48*C59</f>
        <v>9948.6525725697866</v>
      </c>
      <c r="O5" s="17">
        <f>B69*B70*B71</f>
        <v>115.68666666666667</v>
      </c>
      <c r="P5" s="17">
        <f>B77*B78*B79/1000-B77*B78*B79/1000/B80</f>
        <v>591.06666666666661</v>
      </c>
    </row>
    <row r="6" spans="1:16">
      <c r="A6" s="16" t="s">
        <v>633</v>
      </c>
      <c r="B6" s="830">
        <f>kWh_PV_kleiner_dan_10kW</f>
        <v>2886.7342832265663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39625.158283226563</v>
      </c>
      <c r="C8" s="21">
        <f>C5</f>
        <v>0</v>
      </c>
      <c r="D8" s="21">
        <f>D5</f>
        <v>53795.912302000004</v>
      </c>
      <c r="E8" s="21">
        <f>E5</f>
        <v>4449.7757324227596</v>
      </c>
      <c r="F8" s="21">
        <f>F5</f>
        <v>73698.686352161138</v>
      </c>
      <c r="G8" s="21"/>
      <c r="H8" s="21"/>
      <c r="I8" s="21"/>
      <c r="J8" s="21">
        <f>J5</f>
        <v>0</v>
      </c>
      <c r="K8" s="21"/>
      <c r="L8" s="21">
        <f>L5</f>
        <v>0</v>
      </c>
      <c r="M8" s="21">
        <f>M5</f>
        <v>0</v>
      </c>
      <c r="N8" s="21">
        <f>N5</f>
        <v>9948.6525725697866</v>
      </c>
      <c r="O8" s="21">
        <f>O5</f>
        <v>115.68666666666667</v>
      </c>
      <c r="P8" s="21">
        <f>P5</f>
        <v>591.06666666666661</v>
      </c>
    </row>
    <row r="9" spans="1:16">
      <c r="B9" s="19"/>
      <c r="C9" s="19"/>
      <c r="D9" s="260"/>
      <c r="E9" s="19"/>
      <c r="F9" s="19"/>
      <c r="G9" s="19"/>
      <c r="H9" s="19"/>
      <c r="I9" s="19"/>
      <c r="J9" s="19"/>
      <c r="K9" s="19"/>
      <c r="L9" s="19"/>
      <c r="M9" s="19"/>
      <c r="N9" s="19"/>
      <c r="O9" s="19"/>
      <c r="P9" s="19"/>
    </row>
    <row r="10" spans="1:16">
      <c r="A10" s="24" t="s">
        <v>215</v>
      </c>
      <c r="B10" s="25">
        <f ca="1">'EF ele_warmte'!B12</f>
        <v>0.21198587134831959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8399.9737059848667</v>
      </c>
      <c r="C12" s="23">
        <f ca="1">C10*C8</f>
        <v>0</v>
      </c>
      <c r="D12" s="23">
        <f>D8*D10</f>
        <v>10866.774285004001</v>
      </c>
      <c r="E12" s="23">
        <f>E10*E8</f>
        <v>1010.0990912599665</v>
      </c>
      <c r="F12" s="23">
        <f>F10*F8</f>
        <v>19677.549256027025</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1089</v>
      </c>
      <c r="C18" s="167" t="s">
        <v>111</v>
      </c>
      <c r="D18" s="229"/>
      <c r="E18" s="15"/>
    </row>
    <row r="19" spans="1:7">
      <c r="A19" s="172" t="s">
        <v>72</v>
      </c>
      <c r="B19" s="37">
        <f>aantalw2001_ander</f>
        <v>2</v>
      </c>
      <c r="C19" s="167" t="s">
        <v>111</v>
      </c>
      <c r="D19" s="230"/>
      <c r="E19" s="15"/>
    </row>
    <row r="20" spans="1:7">
      <c r="A20" s="172" t="s">
        <v>73</v>
      </c>
      <c r="B20" s="37">
        <f>aantalw2001_propaan</f>
        <v>66</v>
      </c>
      <c r="C20" s="168">
        <f>IF(ISERROR(B20/SUM($B$20,$B$21,$B$22)*100),0,B20/SUM($B$20,$B$21,$B$22)*100)</f>
        <v>14.442013129102845</v>
      </c>
      <c r="D20" s="230"/>
      <c r="E20" s="15"/>
    </row>
    <row r="21" spans="1:7">
      <c r="A21" s="172" t="s">
        <v>74</v>
      </c>
      <c r="B21" s="37">
        <f>aantalw2001_elektriciteit</f>
        <v>340</v>
      </c>
      <c r="C21" s="168">
        <f>IF(ISERROR(B21/SUM($B$20,$B$21,$B$22)*100),0,B21/SUM($B$20,$B$21,$B$22)*100)</f>
        <v>74.398249452954047</v>
      </c>
      <c r="D21" s="230"/>
      <c r="E21" s="15"/>
    </row>
    <row r="22" spans="1:7">
      <c r="A22" s="172" t="s">
        <v>75</v>
      </c>
      <c r="B22" s="37">
        <f>aantalw2001_hout</f>
        <v>51</v>
      </c>
      <c r="C22" s="168">
        <f>IF(ISERROR(B22/SUM($B$20,$B$21,$B$22)*100),0,B22/SUM($B$20,$B$21,$B$22)*100)</f>
        <v>11.159737417943107</v>
      </c>
      <c r="D22" s="230"/>
      <c r="E22" s="15"/>
    </row>
    <row r="23" spans="1:7">
      <c r="A23" s="172" t="s">
        <v>76</v>
      </c>
      <c r="B23" s="37">
        <f>aantalw2001_niet_gespec</f>
        <v>60</v>
      </c>
      <c r="C23" s="167" t="s">
        <v>111</v>
      </c>
      <c r="D23" s="229"/>
      <c r="E23" s="15"/>
    </row>
    <row r="24" spans="1:7">
      <c r="A24" s="172" t="s">
        <v>77</v>
      </c>
      <c r="B24" s="37">
        <f>aantalw2001_steenkool</f>
        <v>141</v>
      </c>
      <c r="C24" s="167" t="s">
        <v>111</v>
      </c>
      <c r="D24" s="230"/>
      <c r="E24" s="15"/>
    </row>
    <row r="25" spans="1:7">
      <c r="A25" s="172" t="s">
        <v>78</v>
      </c>
      <c r="B25" s="37">
        <f>aantalw2001_stookolie</f>
        <v>5249</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8091</v>
      </c>
      <c r="C28" s="36"/>
      <c r="D28" s="229"/>
    </row>
    <row r="29" spans="1:7" s="15" customFormat="1">
      <c r="A29" s="231" t="s">
        <v>714</v>
      </c>
      <c r="B29" s="37">
        <f>SUM(HH_hh_gas_aantal,HH_rest_gas_aantal)</f>
        <v>3330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3330</v>
      </c>
      <c r="C32" s="168">
        <f>IF(ISERROR(B32/SUM($B$32,$B$34,$B$35,$B$36,$B$38,$B$39)*100),0,B32/SUM($B$32,$B$34,$B$35,$B$36,$B$38,$B$39)*100)</f>
        <v>41.315136476426801</v>
      </c>
      <c r="D32" s="234"/>
      <c r="G32" s="15"/>
    </row>
    <row r="33" spans="1:7">
      <c r="A33" s="172" t="s">
        <v>72</v>
      </c>
      <c r="B33" s="34" t="s">
        <v>111</v>
      </c>
      <c r="C33" s="168"/>
      <c r="D33" s="234"/>
      <c r="G33" s="15"/>
    </row>
    <row r="34" spans="1:7">
      <c r="A34" s="172" t="s">
        <v>73</v>
      </c>
      <c r="B34" s="33">
        <f>IF((($B$28-$B$32-$B$39-$B$77-$B$38)*C20/100)&lt;0,0,($B$28-$B$32-$B$39-$B$77-$B$38)*C20/100)</f>
        <v>216.32691466083153</v>
      </c>
      <c r="C34" s="168">
        <f>IF(ISERROR(B34/SUM($B$32,$B$34,$B$35,$B$36,$B$38,$B$39)*100),0,B34/SUM($B$32,$B$34,$B$35,$B$36,$B$38,$B$39)*100)</f>
        <v>2.6839567575785548</v>
      </c>
      <c r="D34" s="234"/>
      <c r="G34" s="15"/>
    </row>
    <row r="35" spans="1:7">
      <c r="A35" s="172" t="s">
        <v>74</v>
      </c>
      <c r="B35" s="33">
        <f>IF((($B$28-$B$32-$B$39-$B$77-$B$38)*C21/100)&lt;0,0,($B$28-$B$32-$B$39-$B$77-$B$38)*C21/100)</f>
        <v>1114.4113785557988</v>
      </c>
      <c r="C35" s="168">
        <f>IF(ISERROR(B35/SUM($B$32,$B$34,$B$35,$B$36,$B$38,$B$39)*100),0,B35/SUM($B$32,$B$34,$B$35,$B$36,$B$38,$B$39)*100)</f>
        <v>13.826443902677404</v>
      </c>
      <c r="D35" s="234"/>
      <c r="G35" s="15"/>
    </row>
    <row r="36" spans="1:7">
      <c r="A36" s="172" t="s">
        <v>75</v>
      </c>
      <c r="B36" s="33">
        <f>IF((($B$28-$B$32-$B$39-$B$77-$B$38)*C22/100)&lt;0,0,($B$28-$B$32-$B$39-$B$77-$B$38)*C22/100)</f>
        <v>167.16170678336982</v>
      </c>
      <c r="C36" s="168">
        <f>IF(ISERROR(B36/SUM($B$32,$B$34,$B$35,$B$36,$B$38,$B$39)*100),0,B36/SUM($B$32,$B$34,$B$35,$B$36,$B$38,$B$39)*100)</f>
        <v>2.0739665854016107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3232.1</v>
      </c>
      <c r="C39" s="168">
        <f>IF(ISERROR(B39/SUM($B$32,$B$34,$B$35,$B$36,$B$38,$B$39)*100),0,B39/SUM($B$32,$B$34,$B$35,$B$36,$B$38,$B$39)*100)</f>
        <v>40.100496277915632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3330</v>
      </c>
      <c r="C44" s="34" t="s">
        <v>111</v>
      </c>
      <c r="D44" s="175"/>
    </row>
    <row r="45" spans="1:7">
      <c r="A45" s="172" t="s">
        <v>72</v>
      </c>
      <c r="B45" s="33" t="str">
        <f t="shared" si="0"/>
        <v>-</v>
      </c>
      <c r="C45" s="34" t="s">
        <v>111</v>
      </c>
      <c r="D45" s="175"/>
    </row>
    <row r="46" spans="1:7">
      <c r="A46" s="172" t="s">
        <v>73</v>
      </c>
      <c r="B46" s="33">
        <f t="shared" si="0"/>
        <v>216.32691466083153</v>
      </c>
      <c r="C46" s="34" t="s">
        <v>111</v>
      </c>
      <c r="D46" s="175"/>
    </row>
    <row r="47" spans="1:7">
      <c r="A47" s="172" t="s">
        <v>74</v>
      </c>
      <c r="B47" s="33">
        <f t="shared" si="0"/>
        <v>1114.4113785557988</v>
      </c>
      <c r="C47" s="34" t="s">
        <v>111</v>
      </c>
      <c r="D47" s="175"/>
    </row>
    <row r="48" spans="1:7">
      <c r="A48" s="172" t="s">
        <v>75</v>
      </c>
      <c r="B48" s="33">
        <f t="shared" si="0"/>
        <v>167.16170678336982</v>
      </c>
      <c r="C48" s="33">
        <f>B48*10</f>
        <v>1671.6170678336982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3232.1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16870.872000000003</v>
      </c>
      <c r="C5" s="17">
        <f>IF(ISERROR('Eigen informatie GS &amp; warmtenet'!B58),0,'Eigen informatie GS &amp; warmtenet'!B58)</f>
        <v>0</v>
      </c>
      <c r="D5" s="30">
        <f>SUM(D6:D12)</f>
        <v>15761.134883999999</v>
      </c>
      <c r="E5" s="17">
        <f>SUM(E6:E12)</f>
        <v>290.25650523651143</v>
      </c>
      <c r="F5" s="17">
        <f>SUM(F6:F12)</f>
        <v>3238.0810674612267</v>
      </c>
      <c r="G5" s="18"/>
      <c r="H5" s="17"/>
      <c r="I5" s="17"/>
      <c r="J5" s="17">
        <f>SUM(J6:J12)</f>
        <v>0</v>
      </c>
      <c r="K5" s="17"/>
      <c r="L5" s="17"/>
      <c r="M5" s="17"/>
      <c r="N5" s="17">
        <f>SUM(N6:N12)</f>
        <v>485.45010209924448</v>
      </c>
      <c r="O5" s="17">
        <f>B38*B39*B40</f>
        <v>0</v>
      </c>
      <c r="P5" s="17">
        <f>B46*B47*B48/1000-B46*B47*B48/1000/B49</f>
        <v>38.133333333333333</v>
      </c>
      <c r="R5" s="32"/>
    </row>
    <row r="6" spans="1:18">
      <c r="A6" s="32" t="s">
        <v>54</v>
      </c>
      <c r="B6" s="37">
        <f>B26</f>
        <v>3580.9070000000002</v>
      </c>
      <c r="C6" s="33"/>
      <c r="D6" s="37">
        <f>IF(ISERROR(TER_kantoor_gas_kWh/1000),0,TER_kantoor_gas_kWh/1000)*0.902</f>
        <v>4337.4212420000003</v>
      </c>
      <c r="E6" s="33">
        <f>$C$26*'E Balans VL '!I12/100/3.6*1000000</f>
        <v>125.34583138086239</v>
      </c>
      <c r="F6" s="33">
        <f>$C$26*('E Balans VL '!L12+'E Balans VL '!N12)/100/3.6*1000000</f>
        <v>542.94238251992226</v>
      </c>
      <c r="G6" s="34"/>
      <c r="H6" s="33"/>
      <c r="I6" s="33"/>
      <c r="J6" s="33">
        <f>$C$26*('E Balans VL '!D12+'E Balans VL '!E12)/100/3.6*1000000</f>
        <v>0</v>
      </c>
      <c r="K6" s="33"/>
      <c r="L6" s="33"/>
      <c r="M6" s="33"/>
      <c r="N6" s="33">
        <f>$C$26*'E Balans VL '!Y12/100/3.6*1000000</f>
        <v>27.679290316954614</v>
      </c>
      <c r="O6" s="33"/>
      <c r="P6" s="33"/>
      <c r="R6" s="32"/>
    </row>
    <row r="7" spans="1:18">
      <c r="A7" s="32" t="s">
        <v>53</v>
      </c>
      <c r="B7" s="37">
        <f t="shared" ref="B7:B12" si="0">B27</f>
        <v>2040.0930000000001</v>
      </c>
      <c r="C7" s="33"/>
      <c r="D7" s="37">
        <f>IF(ISERROR(TER_horeca_gas_kWh/1000),0,TER_horeca_gas_kWh/1000)*0.902</f>
        <v>1644.8998280000001</v>
      </c>
      <c r="E7" s="33">
        <f>$C$27*'E Balans VL '!I9/100/3.6*1000000</f>
        <v>115.08837183044609</v>
      </c>
      <c r="F7" s="33">
        <f>$C$27*('E Balans VL '!L9+'E Balans VL '!N9)/100/3.6*1000000</f>
        <v>355.39549061961895</v>
      </c>
      <c r="G7" s="34"/>
      <c r="H7" s="33"/>
      <c r="I7" s="33"/>
      <c r="J7" s="33">
        <f>$C$27*('E Balans VL '!D9+'E Balans VL '!E9)/100/3.6*1000000</f>
        <v>0</v>
      </c>
      <c r="K7" s="33"/>
      <c r="L7" s="33"/>
      <c r="M7" s="33"/>
      <c r="N7" s="33">
        <f>$C$27*'E Balans VL '!Y9/100/3.6*1000000</f>
        <v>0</v>
      </c>
      <c r="O7" s="33"/>
      <c r="P7" s="33"/>
      <c r="R7" s="32"/>
    </row>
    <row r="8" spans="1:18">
      <c r="A8" s="6" t="s">
        <v>52</v>
      </c>
      <c r="B8" s="37">
        <f t="shared" si="0"/>
        <v>7246.8040000000001</v>
      </c>
      <c r="C8" s="33"/>
      <c r="D8" s="37">
        <f>IF(ISERROR(TER_handel_gas_kWh/1000),0,TER_handel_gas_kWh/1000)*0.902</f>
        <v>5702.8047999999999</v>
      </c>
      <c r="E8" s="33">
        <f>$C$28*'E Balans VL '!I13/100/3.6*1000000</f>
        <v>37.204355471391914</v>
      </c>
      <c r="F8" s="33">
        <f>$C$28*('E Balans VL '!L13+'E Balans VL '!N13)/100/3.6*1000000</f>
        <v>1117.3452021835037</v>
      </c>
      <c r="G8" s="34"/>
      <c r="H8" s="33"/>
      <c r="I8" s="33"/>
      <c r="J8" s="33">
        <f>$C$28*('E Balans VL '!D13+'E Balans VL '!E13)/100/3.6*1000000</f>
        <v>0</v>
      </c>
      <c r="K8" s="33"/>
      <c r="L8" s="33"/>
      <c r="M8" s="33"/>
      <c r="N8" s="33">
        <f>$C$28*'E Balans VL '!Y13/100/3.6*1000000</f>
        <v>3.3894186899497529</v>
      </c>
      <c r="O8" s="33"/>
      <c r="P8" s="33"/>
      <c r="R8" s="32"/>
    </row>
    <row r="9" spans="1:18">
      <c r="A9" s="32" t="s">
        <v>51</v>
      </c>
      <c r="B9" s="37">
        <f t="shared" si="0"/>
        <v>1679.5920000000001</v>
      </c>
      <c r="C9" s="33"/>
      <c r="D9" s="37">
        <f>IF(ISERROR(TER_gezond_gas_kWh/1000),0,TER_gezond_gas_kWh/1000)*0.902</f>
        <v>1361.7169280000001</v>
      </c>
      <c r="E9" s="33">
        <f>$C$29*'E Balans VL '!I10/100/3.6*1000000</f>
        <v>0.69617892237447809</v>
      </c>
      <c r="F9" s="33">
        <f>$C$29*('E Balans VL '!L10+'E Balans VL '!N10)/100/3.6*1000000</f>
        <v>413.6594210374858</v>
      </c>
      <c r="G9" s="34"/>
      <c r="H9" s="33"/>
      <c r="I9" s="33"/>
      <c r="J9" s="33">
        <f>$C$29*('E Balans VL '!D10+'E Balans VL '!E10)/100/3.6*1000000</f>
        <v>0</v>
      </c>
      <c r="K9" s="33"/>
      <c r="L9" s="33"/>
      <c r="M9" s="33"/>
      <c r="N9" s="33">
        <f>$C$29*'E Balans VL '!Y10/100/3.6*1000000</f>
        <v>14.515832080346932</v>
      </c>
      <c r="O9" s="33"/>
      <c r="P9" s="33"/>
      <c r="R9" s="32"/>
    </row>
    <row r="10" spans="1:18">
      <c r="A10" s="32" t="s">
        <v>50</v>
      </c>
      <c r="B10" s="37">
        <f t="shared" si="0"/>
        <v>1903.114</v>
      </c>
      <c r="C10" s="33"/>
      <c r="D10" s="37">
        <f>IF(ISERROR(TER_ander_gas_kWh/1000),0,TER_ander_gas_kWh/1000)*0.902</f>
        <v>1183.350938</v>
      </c>
      <c r="E10" s="33">
        <f>$C$30*'E Balans VL '!I14/100/3.6*1000000</f>
        <v>11.601429898955937</v>
      </c>
      <c r="F10" s="33">
        <f>$C$30*('E Balans VL '!L14+'E Balans VL '!N14)/100/3.6*1000000</f>
        <v>504.54159110458482</v>
      </c>
      <c r="G10" s="34"/>
      <c r="H10" s="33"/>
      <c r="I10" s="33"/>
      <c r="J10" s="33">
        <f>$C$30*('E Balans VL '!D14+'E Balans VL '!E14)/100/3.6*1000000</f>
        <v>0</v>
      </c>
      <c r="K10" s="33"/>
      <c r="L10" s="33"/>
      <c r="M10" s="33"/>
      <c r="N10" s="33">
        <f>$C$30*'E Balans VL '!Y14/100/3.6*1000000</f>
        <v>438.62665373330583</v>
      </c>
      <c r="O10" s="33"/>
      <c r="P10" s="33"/>
      <c r="R10" s="32"/>
    </row>
    <row r="11" spans="1:18">
      <c r="A11" s="32" t="s">
        <v>55</v>
      </c>
      <c r="B11" s="37">
        <f t="shared" si="0"/>
        <v>420.36200000000002</v>
      </c>
      <c r="C11" s="33"/>
      <c r="D11" s="37">
        <f>IF(ISERROR(TER_onderwijs_gas_kWh/1000),0,TER_onderwijs_gas_kWh/1000)*0.902</f>
        <v>1530.9411479999999</v>
      </c>
      <c r="E11" s="33">
        <f>$C$31*'E Balans VL '!I11/100/3.6*1000000</f>
        <v>0.32033773248057718</v>
      </c>
      <c r="F11" s="33">
        <f>$C$31*('E Balans VL '!L11+'E Balans VL '!N11)/100/3.6*1000000</f>
        <v>304.19697999611094</v>
      </c>
      <c r="G11" s="34"/>
      <c r="H11" s="33"/>
      <c r="I11" s="33"/>
      <c r="J11" s="33">
        <f>$C$31*('E Balans VL '!D11+'E Balans VL '!E11)/100/3.6*1000000</f>
        <v>0</v>
      </c>
      <c r="K11" s="33"/>
      <c r="L11" s="33"/>
      <c r="M11" s="33"/>
      <c r="N11" s="33">
        <f>$C$31*'E Balans VL '!Y11/100/3.6*1000000</f>
        <v>1.2389072786873356</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16870.872000000003</v>
      </c>
      <c r="C16" s="21">
        <f ca="1">C5+C13+C14</f>
        <v>0</v>
      </c>
      <c r="D16" s="21">
        <f t="shared" ref="D16:N16" ca="1" si="1">MAX((D5+D13+D14),0)</f>
        <v>15761.134883999999</v>
      </c>
      <c r="E16" s="21">
        <f t="shared" si="1"/>
        <v>290.25650523651143</v>
      </c>
      <c r="F16" s="21">
        <f t="shared" ca="1" si="1"/>
        <v>3238.0810674612267</v>
      </c>
      <c r="G16" s="21">
        <f t="shared" si="1"/>
        <v>0</v>
      </c>
      <c r="H16" s="21">
        <f t="shared" si="1"/>
        <v>0</v>
      </c>
      <c r="I16" s="21">
        <f t="shared" si="1"/>
        <v>0</v>
      </c>
      <c r="J16" s="21">
        <f t="shared" si="1"/>
        <v>0</v>
      </c>
      <c r="K16" s="21">
        <f t="shared" si="1"/>
        <v>0</v>
      </c>
      <c r="L16" s="21">
        <f t="shared" ca="1" si="1"/>
        <v>0</v>
      </c>
      <c r="M16" s="21">
        <f t="shared" si="1"/>
        <v>0</v>
      </c>
      <c r="N16" s="21">
        <f t="shared" ca="1" si="1"/>
        <v>485.45010209924448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0.21198587134831959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3576.3865013259679</v>
      </c>
      <c r="C20" s="23">
        <f t="shared" ref="C20:P20" ca="1" si="2">C16*C18</f>
        <v>0</v>
      </c>
      <c r="D20" s="23">
        <f t="shared" ca="1" si="2"/>
        <v>3183.7492465680002</v>
      </c>
      <c r="E20" s="23">
        <f t="shared" si="2"/>
        <v>65.888226688688093</v>
      </c>
      <c r="F20" s="23">
        <f t="shared" ca="1" si="2"/>
        <v>864.56764501214752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3580.9070000000002</v>
      </c>
      <c r="C26" s="39">
        <f>IF(ISERROR(B26*3.6/1000000/'E Balans VL '!Z12*100),0,B26*3.6/1000000/'E Balans VL '!Z12*100)</f>
        <v>7.5354249327744788E-2</v>
      </c>
      <c r="D26" s="238" t="s">
        <v>720</v>
      </c>
      <c r="F26" s="6"/>
    </row>
    <row r="27" spans="1:18">
      <c r="A27" s="232" t="s">
        <v>53</v>
      </c>
      <c r="B27" s="33">
        <f>IF(ISERROR(TER_horeca_ele_kWh/1000),0,TER_horeca_ele_kWh/1000)</f>
        <v>2040.0930000000001</v>
      </c>
      <c r="C27" s="39">
        <f>IF(ISERROR(B27*3.6/1000000/'E Balans VL '!Z9*100),0,B27*3.6/1000000/'E Balans VL '!Z9*100)</f>
        <v>0.17272894170175757</v>
      </c>
      <c r="D27" s="238" t="s">
        <v>720</v>
      </c>
      <c r="F27" s="6"/>
    </row>
    <row r="28" spans="1:18">
      <c r="A28" s="172" t="s">
        <v>52</v>
      </c>
      <c r="B28" s="33">
        <f>IF(ISERROR(TER_handel_ele_kWh/1000),0,TER_handel_ele_kWh/1000)</f>
        <v>7246.8040000000001</v>
      </c>
      <c r="C28" s="39">
        <f>IF(ISERROR(B28*3.6/1000000/'E Balans VL '!Z13*100),0,B28*3.6/1000000/'E Balans VL '!Z13*100)</f>
        <v>0.20062676665885842</v>
      </c>
      <c r="D28" s="238" t="s">
        <v>720</v>
      </c>
      <c r="F28" s="6"/>
    </row>
    <row r="29" spans="1:18">
      <c r="A29" s="232" t="s">
        <v>51</v>
      </c>
      <c r="B29" s="33">
        <f>IF(ISERROR(TER_gezond_ele_kWh/1000),0,TER_gezond_ele_kWh/1000)</f>
        <v>1679.5920000000001</v>
      </c>
      <c r="C29" s="39">
        <f>IF(ISERROR(B29*3.6/1000000/'E Balans VL '!Z10*100),0,B29*3.6/1000000/'E Balans VL '!Z10*100)</f>
        <v>0.21832833955172715</v>
      </c>
      <c r="D29" s="238" t="s">
        <v>720</v>
      </c>
      <c r="F29" s="6"/>
    </row>
    <row r="30" spans="1:18">
      <c r="A30" s="232" t="s">
        <v>50</v>
      </c>
      <c r="B30" s="33">
        <f>IF(ISERROR(TER_ander_ele_kWh/1000),0,TER_ander_ele_kWh/1000)</f>
        <v>1903.114</v>
      </c>
      <c r="C30" s="39">
        <f>IF(ISERROR(B30*3.6/1000000/'E Balans VL '!Z14*100),0,B30*3.6/1000000/'E Balans VL '!Z14*100)</f>
        <v>0.14750878788862393</v>
      </c>
      <c r="D30" s="238" t="s">
        <v>720</v>
      </c>
      <c r="F30" s="6"/>
    </row>
    <row r="31" spans="1:18">
      <c r="A31" s="232" t="s">
        <v>55</v>
      </c>
      <c r="B31" s="33">
        <f>IF(ISERROR(TER_onderwijs_ele_kWh/1000),0,TER_onderwijs_ele_kWh/1000)</f>
        <v>420.36200000000002</v>
      </c>
      <c r="C31" s="39">
        <f>IF(ISERROR(B31*3.6/1000000/'E Balans VL '!Z11*100),0,B31*3.6/1000000/'E Balans VL '!Z11*100)</f>
        <v>8.042241341689943E-2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40037.905999999995</v>
      </c>
      <c r="C5" s="17">
        <f>IF(ISERROR('Eigen informatie GS &amp; warmtenet'!B59),0,'Eigen informatie GS &amp; warmtenet'!B59)</f>
        <v>0</v>
      </c>
      <c r="D5" s="30">
        <f>SUM(D6:D15)</f>
        <v>90677.552173999997</v>
      </c>
      <c r="E5" s="17">
        <f>SUM(E6:E15)</f>
        <v>346.93745994641421</v>
      </c>
      <c r="F5" s="17">
        <f>SUM(F6:F15)</f>
        <v>6508.3751992281368</v>
      </c>
      <c r="G5" s="18"/>
      <c r="H5" s="17"/>
      <c r="I5" s="17"/>
      <c r="J5" s="17">
        <f>SUM(J6:J15)</f>
        <v>422.72678322221685</v>
      </c>
      <c r="K5" s="17"/>
      <c r="L5" s="17"/>
      <c r="M5" s="17"/>
      <c r="N5" s="17">
        <f>SUM(N6:N15)</f>
        <v>492.47846071600929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189.95218</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15969.895</v>
      </c>
      <c r="C8" s="33"/>
      <c r="D8" s="37">
        <f>IF( ISERROR(IND_metaal_Gas_kWH/1000),0,IND_metaal_Gas_kWH/1000)*0.902</f>
        <v>691.92510200000004</v>
      </c>
      <c r="E8" s="33">
        <f>C30*'E Balans VL '!I18/100/3.6*1000000</f>
        <v>112.21692856749955</v>
      </c>
      <c r="F8" s="33">
        <f>C30*'E Balans VL '!L18/100/3.6*1000000+C30*'E Balans VL '!N18/100/3.6*1000000</f>
        <v>1753.4010379177687</v>
      </c>
      <c r="G8" s="34"/>
      <c r="H8" s="33"/>
      <c r="I8" s="33"/>
      <c r="J8" s="40">
        <f>C30*'E Balans VL '!D18/100/3.6*1000000+C30*'E Balans VL '!E18/100/3.6*1000000</f>
        <v>329.49335523028924</v>
      </c>
      <c r="K8" s="33"/>
      <c r="L8" s="33"/>
      <c r="M8" s="33"/>
      <c r="N8" s="33">
        <f>C30*'E Balans VL '!Y18/100/3.6*1000000</f>
        <v>59.856316610604232</v>
      </c>
      <c r="O8" s="33"/>
      <c r="P8" s="33"/>
      <c r="R8" s="32"/>
    </row>
    <row r="9" spans="1:18">
      <c r="A9" s="6" t="s">
        <v>33</v>
      </c>
      <c r="B9" s="37">
        <f t="shared" si="0"/>
        <v>1419.354</v>
      </c>
      <c r="C9" s="33"/>
      <c r="D9" s="37">
        <f>IF( ISERROR(IND_andere_gas_kWh/1000),0,IND_andere_gas_kWh/1000)*0.902</f>
        <v>1695.866436</v>
      </c>
      <c r="E9" s="33">
        <f>C31*'E Balans VL '!I19/100/3.6*1000000</f>
        <v>23.83978919416565</v>
      </c>
      <c r="F9" s="33">
        <f>C31*'E Balans VL '!L19/100/3.6*1000000+C31*'E Balans VL '!N19/100/3.6*1000000</f>
        <v>1109.5701168323144</v>
      </c>
      <c r="G9" s="34"/>
      <c r="H9" s="33"/>
      <c r="I9" s="33"/>
      <c r="J9" s="40">
        <f>C31*'E Balans VL '!D19/100/3.6*1000000+C31*'E Balans VL '!E19/100/3.6*1000000</f>
        <v>0.1280132016159132</v>
      </c>
      <c r="K9" s="33"/>
      <c r="L9" s="33"/>
      <c r="M9" s="33"/>
      <c r="N9" s="33">
        <f>C31*'E Balans VL '!Y19/100/3.6*1000000</f>
        <v>105.1969029301867</v>
      </c>
      <c r="O9" s="33"/>
      <c r="P9" s="33"/>
      <c r="R9" s="32"/>
    </row>
    <row r="10" spans="1:18">
      <c r="A10" s="6" t="s">
        <v>41</v>
      </c>
      <c r="B10" s="37">
        <f t="shared" si="0"/>
        <v>22286.905999999999</v>
      </c>
      <c r="C10" s="33"/>
      <c r="D10" s="37">
        <f>IF( ISERROR(IND_voed_gas_kWh/1000),0,IND_voed_gas_kWh/1000)*0.902</f>
        <v>87591.468316000013</v>
      </c>
      <c r="E10" s="33">
        <f>C32*'E Balans VL '!I20/100/3.6*1000000</f>
        <v>203.33646902065698</v>
      </c>
      <c r="F10" s="33">
        <f>C32*'E Balans VL '!L20/100/3.6*1000000+C32*'E Balans VL '!N20/100/3.6*1000000</f>
        <v>3595.5750314243414</v>
      </c>
      <c r="G10" s="34"/>
      <c r="H10" s="33"/>
      <c r="I10" s="33"/>
      <c r="J10" s="40">
        <f>C32*'E Balans VL '!D20/100/3.6*1000000+C32*'E Balans VL '!E20/100/3.6*1000000</f>
        <v>91.792090910868779</v>
      </c>
      <c r="K10" s="33"/>
      <c r="L10" s="33"/>
      <c r="M10" s="33"/>
      <c r="N10" s="33">
        <f>C32*'E Balans VL '!Y20/100/3.6*1000000</f>
        <v>326.03986106139382</v>
      </c>
      <c r="O10" s="33"/>
      <c r="P10" s="33"/>
      <c r="R10" s="32"/>
    </row>
    <row r="11" spans="1:18">
      <c r="A11" s="6" t="s">
        <v>40</v>
      </c>
      <c r="B11" s="37">
        <f t="shared" si="0"/>
        <v>47.457000000000001</v>
      </c>
      <c r="C11" s="33"/>
      <c r="D11" s="37">
        <f>IF( ISERROR(IND_textiel_gas_kWh/1000),0,IND_textiel_gas_kWh/1000)*0.902</f>
        <v>0</v>
      </c>
      <c r="E11" s="33">
        <f>C33*'E Balans VL '!I21/100/3.6*1000000</f>
        <v>0.10824061410286992</v>
      </c>
      <c r="F11" s="33">
        <f>C33*'E Balans VL '!L21/100/3.6*1000000+C33*'E Balans VL '!N21/100/3.6*1000000</f>
        <v>1.0144373911692011</v>
      </c>
      <c r="G11" s="34"/>
      <c r="H11" s="33"/>
      <c r="I11" s="33"/>
      <c r="J11" s="40">
        <f>C33*'E Balans VL '!D21/100/3.6*1000000+C33*'E Balans VL '!E21/100/3.6*1000000</f>
        <v>0</v>
      </c>
      <c r="K11" s="33"/>
      <c r="L11" s="33"/>
      <c r="M11" s="33"/>
      <c r="N11" s="33">
        <f>C33*'E Balans VL '!Y21/100/3.6*1000000</f>
        <v>0.3366535555976834</v>
      </c>
      <c r="O11" s="33"/>
      <c r="P11" s="33"/>
      <c r="R11" s="32"/>
    </row>
    <row r="12" spans="1:18">
      <c r="A12" s="6" t="s">
        <v>37</v>
      </c>
      <c r="B12" s="37">
        <f t="shared" si="0"/>
        <v>162.119</v>
      </c>
      <c r="C12" s="33"/>
      <c r="D12" s="37">
        <f>IF( ISERROR(IND_min_gas_kWh/1000),0,IND_min_gas_kWh/1000)*0.902</f>
        <v>210.18223600000002</v>
      </c>
      <c r="E12" s="33">
        <f>C34*'E Balans VL '!I22/100/3.6*1000000</f>
        <v>4.0210782567019372</v>
      </c>
      <c r="F12" s="33">
        <f>C34*'E Balans VL '!L22/100/3.6*1000000+C34*'E Balans VL '!N22/100/3.6*1000000</f>
        <v>17.226696038818726</v>
      </c>
      <c r="G12" s="34"/>
      <c r="H12" s="33"/>
      <c r="I12" s="33"/>
      <c r="J12" s="40">
        <f>C34*'E Balans VL '!D22/100/3.6*1000000+C34*'E Balans VL '!E22/100/3.6*1000000</f>
        <v>0.92093104530144998</v>
      </c>
      <c r="K12" s="33"/>
      <c r="L12" s="33"/>
      <c r="M12" s="33"/>
      <c r="N12" s="33">
        <f>C34*'E Balans VL '!Y22/100/3.6*1000000</f>
        <v>0</v>
      </c>
      <c r="O12" s="33"/>
      <c r="P12" s="33"/>
      <c r="R12" s="32"/>
    </row>
    <row r="13" spans="1:18">
      <c r="A13" s="6" t="s">
        <v>39</v>
      </c>
      <c r="B13" s="37">
        <f t="shared" si="0"/>
        <v>93.899000000000001</v>
      </c>
      <c r="C13" s="33"/>
      <c r="D13" s="37">
        <f>IF( ISERROR(IND_papier_gas_kWh/1000),0,IND_papier_gas_kWh/1000)*0.902</f>
        <v>123.39720800000001</v>
      </c>
      <c r="E13" s="33">
        <f>C35*'E Balans VL '!I23/100/3.6*1000000</f>
        <v>2.8890271754351735</v>
      </c>
      <c r="F13" s="33">
        <f>C35*'E Balans VL '!L23/100/3.6*1000000+C35*'E Balans VL '!N23/100/3.6*1000000</f>
        <v>19.938039276166649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58.276000000000003</v>
      </c>
      <c r="C15" s="33"/>
      <c r="D15" s="37">
        <f>IF( ISERROR(IND_rest_gas_kWh/1000),0,IND_rest_gas_kWh/1000)*0.902</f>
        <v>174.760696</v>
      </c>
      <c r="E15" s="33">
        <f>C37*'E Balans VL '!I15/100/3.6*1000000</f>
        <v>0.52592711785206059</v>
      </c>
      <c r="F15" s="33">
        <f>C37*'E Balans VL '!L15/100/3.6*1000000+C37*'E Balans VL '!N15/100/3.6*1000000</f>
        <v>11.649840347557962</v>
      </c>
      <c r="G15" s="34"/>
      <c r="H15" s="33"/>
      <c r="I15" s="33"/>
      <c r="J15" s="40">
        <f>C37*'E Balans VL '!D15/100/3.6*1000000+C37*'E Balans VL '!E15/100/3.6*1000000</f>
        <v>0.39239283414149984</v>
      </c>
      <c r="K15" s="33"/>
      <c r="L15" s="33"/>
      <c r="M15" s="33"/>
      <c r="N15" s="33">
        <f>C37*'E Balans VL '!Y15/100/3.6*1000000</f>
        <v>1.0487265582268879</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40037.905999999995</v>
      </c>
      <c r="C18" s="21">
        <f>C5+C16</f>
        <v>0</v>
      </c>
      <c r="D18" s="21">
        <f>MAX((D5+D16),0)</f>
        <v>90677.552173999997</v>
      </c>
      <c r="E18" s="21">
        <f>MAX((E5+E16),0)</f>
        <v>346.93745994641421</v>
      </c>
      <c r="F18" s="21">
        <f>MAX((F5+F16),0)</f>
        <v>6508.3751992281368</v>
      </c>
      <c r="G18" s="21"/>
      <c r="H18" s="21"/>
      <c r="I18" s="21"/>
      <c r="J18" s="21">
        <f>MAX((J5+J16),0)</f>
        <v>422.72678322221685</v>
      </c>
      <c r="K18" s="21"/>
      <c r="L18" s="21">
        <f>MAX((L5+L16),0)</f>
        <v>0</v>
      </c>
      <c r="M18" s="21"/>
      <c r="N18" s="21">
        <f>MAX((N5+N16),0)</f>
        <v>492.47846071600929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0.21198587134831959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8487.4703903721111</v>
      </c>
      <c r="C22" s="23">
        <f ca="1">C18*C20</f>
        <v>0</v>
      </c>
      <c r="D22" s="23">
        <f>D18*D20</f>
        <v>18316.865539147999</v>
      </c>
      <c r="E22" s="23">
        <f>E18*E20</f>
        <v>78.754803407836022</v>
      </c>
      <c r="F22" s="23">
        <f>F18*F20</f>
        <v>1737.7361781939126</v>
      </c>
      <c r="G22" s="23"/>
      <c r="H22" s="23"/>
      <c r="I22" s="23"/>
      <c r="J22" s="23">
        <f>J18*J20</f>
        <v>149.64528126066475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15969.895</v>
      </c>
      <c r="C30" s="39">
        <f>IF(ISERROR(B30*3.6/1000000/'E Balans VL '!Z18*100),0,B30*3.6/1000000/'E Balans VL '!Z18*100)</f>
        <v>1.0631256621850904</v>
      </c>
      <c r="D30" s="238" t="s">
        <v>720</v>
      </c>
    </row>
    <row r="31" spans="1:18">
      <c r="A31" s="6" t="s">
        <v>33</v>
      </c>
      <c r="B31" s="37">
        <f>IF( ISERROR(IND_ander_ele_kWh/1000),0,IND_ander_ele_kWh/1000)</f>
        <v>1419.354</v>
      </c>
      <c r="C31" s="39">
        <f>IF(ISERROR(B31*3.6/1000000/'E Balans VL '!Z19*100),0,B31*3.6/1000000/'E Balans VL '!Z19*100)</f>
        <v>6.2914337995534128E-2</v>
      </c>
      <c r="D31" s="238" t="s">
        <v>720</v>
      </c>
    </row>
    <row r="32" spans="1:18">
      <c r="A32" s="172" t="s">
        <v>41</v>
      </c>
      <c r="B32" s="37">
        <f>IF( ISERROR(IND_voed_ele_kWh/1000),0,IND_voed_ele_kWh/1000)</f>
        <v>22286.905999999999</v>
      </c>
      <c r="C32" s="39">
        <f>IF(ISERROR(B32*3.6/1000000/'E Balans VL '!Z20*100),0,B32*3.6/1000000/'E Balans VL '!Z20*100)</f>
        <v>0.74444659325878504</v>
      </c>
      <c r="D32" s="238" t="s">
        <v>720</v>
      </c>
    </row>
    <row r="33" spans="1:5">
      <c r="A33" s="172" t="s">
        <v>40</v>
      </c>
      <c r="B33" s="37">
        <f>IF( ISERROR(IND_textiel_ele_kWh/1000),0,IND_textiel_ele_kWh/1000)</f>
        <v>47.457000000000001</v>
      </c>
      <c r="C33" s="39">
        <f>IF(ISERROR(B33*3.6/1000000/'E Balans VL '!Z21*100),0,B33*3.6/1000000/'E Balans VL '!Z21*100)</f>
        <v>6.2478234877392539E-3</v>
      </c>
      <c r="D33" s="238" t="s">
        <v>720</v>
      </c>
    </row>
    <row r="34" spans="1:5">
      <c r="A34" s="172" t="s">
        <v>37</v>
      </c>
      <c r="B34" s="37">
        <f>IF( ISERROR(IND_min_ele_kWh/1000),0,IND_min_ele_kWh/1000)</f>
        <v>162.119</v>
      </c>
      <c r="C34" s="39">
        <f>IF(ISERROR(B34*3.6/1000000/'E Balans VL '!Z22*100),0,B34*3.6/1000000/'E Balans VL '!Z22*100)</f>
        <v>3.1530364724010433E-2</v>
      </c>
      <c r="D34" s="238" t="s">
        <v>720</v>
      </c>
    </row>
    <row r="35" spans="1:5">
      <c r="A35" s="172" t="s">
        <v>39</v>
      </c>
      <c r="B35" s="37">
        <f>IF( ISERROR(IND_papier_ele_kWh/1000),0,IND_papier_ele_kWh/1000)</f>
        <v>93.899000000000001</v>
      </c>
      <c r="C35" s="39">
        <f>IF(ISERROR(B35*3.6/1000000/'E Balans VL '!Z22*100),0,B35*3.6/1000000/'E Balans VL '!Z22*100)</f>
        <v>1.8262324078114567E-2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58.276000000000003</v>
      </c>
      <c r="C37" s="39">
        <f>IF(ISERROR(B37*3.6/1000000/'E Balans VL '!Z15*100),0,B37*3.6/1000000/'E Balans VL '!Z15*100)</f>
        <v>4.3347850027492771E-4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163.95599999999999</v>
      </c>
      <c r="C5" s="17">
        <f>'Eigen informatie GS &amp; warmtenet'!B60</f>
        <v>0</v>
      </c>
      <c r="D5" s="30">
        <f>IF(ISERROR(SUM(LB_lb_gas_kWh,LB_rest_gas_kWh,onbekend_gas_kWh)/1000),0,SUM(LB_lb_gas_kWh,LB_rest_gas_kWh,onbekend_gas_kWh)/1000)*0.902</f>
        <v>112.300804</v>
      </c>
      <c r="E5" s="17">
        <f>B17*'E Balans VL '!I25/3.6*1000000/100</f>
        <v>1.7169827270265217</v>
      </c>
      <c r="F5" s="17">
        <f>B17*('E Balans VL '!L25/3.6*1000000+'E Balans VL '!N25/3.6*1000000)/100</f>
        <v>842.10412177400269</v>
      </c>
      <c r="G5" s="18"/>
      <c r="H5" s="17"/>
      <c r="I5" s="17"/>
      <c r="J5" s="17">
        <f>('E Balans VL '!D25+'E Balans VL '!E25)/3.6*1000000*landbouw!B17/100</f>
        <v>14.642740362698241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163.95599999999999</v>
      </c>
      <c r="C8" s="21">
        <f>C5+C6</f>
        <v>0</v>
      </c>
      <c r="D8" s="21">
        <f>MAX((D5+D6),0)</f>
        <v>112.300804</v>
      </c>
      <c r="E8" s="21">
        <f>MAX((E5+E6),0)</f>
        <v>1.7169827270265217</v>
      </c>
      <c r="F8" s="21">
        <f>MAX((F5+F6),0)</f>
        <v>842.10412177400269</v>
      </c>
      <c r="G8" s="21"/>
      <c r="H8" s="21"/>
      <c r="I8" s="21"/>
      <c r="J8" s="21">
        <f>MAX((J5+J6),0)</f>
        <v>14.642740362698241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0.21198587134831959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34.756355522785086</v>
      </c>
      <c r="C12" s="23">
        <f ca="1">C8*C10</f>
        <v>0</v>
      </c>
      <c r="D12" s="23">
        <f>D8*D10</f>
        <v>22.684762408000001</v>
      </c>
      <c r="E12" s="23">
        <f>E8*E10</f>
        <v>0.38975507903502044</v>
      </c>
      <c r="F12" s="23">
        <f>F8*F10</f>
        <v>224.84180051365874</v>
      </c>
      <c r="G12" s="23"/>
      <c r="H12" s="23"/>
      <c r="I12" s="23"/>
      <c r="J12" s="23">
        <f>J8*J10</f>
        <v>5.1835300883951767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2.523599333567517E-2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38.53646356015053</v>
      </c>
      <c r="C26" s="248">
        <f>B26*'GWP N2O_CH4'!B5</f>
        <v>809.26573476316116</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3.8836159701693722</v>
      </c>
      <c r="C27" s="248">
        <f>B27*'GWP N2O_CH4'!B5</f>
        <v>81.555935373556821</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0.5974787444868267</v>
      </c>
      <c r="C28" s="248">
        <f>B28*'GWP N2O_CH4'!B4</f>
        <v>185.21841079091627</v>
      </c>
      <c r="D28" s="50"/>
    </row>
    <row r="29" spans="1:4">
      <c r="A29" s="41" t="s">
        <v>278</v>
      </c>
      <c r="B29" s="248">
        <f>B34*'ha_N2O bodem landbouw'!B4</f>
        <v>7.9264119442775831</v>
      </c>
      <c r="C29" s="248">
        <f>B29*'GWP N2O_CH4'!B4</f>
        <v>2457.1877027260507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1.3099436768825422E-3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6.7145716341212386E-6</v>
      </c>
      <c r="C5" s="446" t="s">
        <v>212</v>
      </c>
      <c r="D5" s="431">
        <f>SUM(D6:D11)</f>
        <v>3.2487274197653097E-5</v>
      </c>
      <c r="E5" s="431">
        <f>SUM(E6:E11)</f>
        <v>3.8366112523976047E-3</v>
      </c>
      <c r="F5" s="444" t="s">
        <v>212</v>
      </c>
      <c r="G5" s="431">
        <f>SUM(G6:G11)</f>
        <v>0.7505128218155539</v>
      </c>
      <c r="H5" s="431">
        <f>SUM(H6:H11)</f>
        <v>0.1122354214695562</v>
      </c>
      <c r="I5" s="446" t="s">
        <v>212</v>
      </c>
      <c r="J5" s="446" t="s">
        <v>212</v>
      </c>
      <c r="K5" s="446" t="s">
        <v>212</v>
      </c>
      <c r="L5" s="446" t="s">
        <v>212</v>
      </c>
      <c r="M5" s="431">
        <f>SUM(M6:M11)</f>
        <v>3.7601445912050127E-2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1.481685287631786E-6</v>
      </c>
      <c r="C6" s="432"/>
      <c r="D6" s="432">
        <f>vkm_2011_GW_PW*SUMIFS(TableVerdeelsleutelVkm[CNG],TableVerdeelsleutelVkm[Voertuigtype],"Lichte voertuigen")*SUMIFS(TableECFTransport[EnergieConsumptieFactor (PJ per km)],TableECFTransport[Index],CONCATENATE($A6,"_CNG_CNG"))</f>
        <v>6.3873730440729559E-6</v>
      </c>
      <c r="E6" s="434">
        <f>vkm_2011_GW_PW*SUMIFS(TableVerdeelsleutelVkm[LPG],TableVerdeelsleutelVkm[Voertuigtype],"Lichte voertuigen")*SUMIFS(TableECFTransport[EnergieConsumptieFactor (PJ per km)],TableECFTransport[Index],CONCATENATE($A6,"_LPG_LPG"))</f>
        <v>6.6456697313736106E-4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8.1743562117575455E-2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2.1521385932079098E-2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4.525565094669011E-3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4.9485843324855255E-2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1.6968009918731649E-5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2.1376957112420624E-3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8.3483694851355536E-7</v>
      </c>
      <c r="C8" s="432"/>
      <c r="D8" s="434">
        <f>vkm_2011_NGW_PW*SUMIFS(TableVerdeelsleutelVkm[CNG],TableVerdeelsleutelVkm[Voertuigtype],"Lichte voertuigen")*SUMIFS(TableECFTransport[EnergieConsumptieFactor (PJ per km)],TableECFTransport[Index],CONCATENATE($A8,"_CNG_CNG"))</f>
        <v>6.4564874264411321E-6</v>
      </c>
      <c r="E8" s="434">
        <f>vkm_2011_NGW_PW*SUMIFS(TableVerdeelsleutelVkm[LPG],TableVerdeelsleutelVkm[Voertuigtype],"Lichte voertuigen")*SUMIFS(TableECFTransport[EnergieConsumptieFactor (PJ per km)],TableECFTransport[Index],CONCATENATE($A8,"_LPG_LPG"))</f>
        <v>6.1336478717641436E-4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7.1558388853941168E-2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2.0765922482099252E-2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4.0507945337045371E-3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1.3667126212048219E-2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4.0710778484179074E-6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5.9036578264825223E-4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4.3980493979758976E-6</v>
      </c>
      <c r="C10" s="432"/>
      <c r="D10" s="434">
        <f>vkm_2011_SW_PW*SUMIFS(TableVerdeelsleutelVkm[CNG],TableVerdeelsleutelVkm[Voertuigtype],"Lichte voertuigen")*SUMIFS(TableECFTransport[EnergieConsumptieFactor (PJ per km)],TableECFTransport[Index],CONCATENATE($A10,"_CNG_CNG"))</f>
        <v>1.9643413727139006E-5</v>
      </c>
      <c r="E10" s="434">
        <f>vkm_2011_SW_PW*SUMIFS(TableVerdeelsleutelVkm[LPG],TableVerdeelsleutelVkm[Voertuigtype],"Lichte voertuigen")*SUMIFS(TableECFTransport[EnergieConsumptieFactor (PJ per km)],TableECFTransport[Index],CONCATENATE($A10,"_LPG_LPG"))</f>
        <v>2.5586794920838293E-3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0.28933906024013406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6.9837544659682185E-2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1.5725369432741294E-2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0.24471884106699968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8.9529307928524059E-5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1.0571655357044966E-2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1.8651587872558995</v>
      </c>
      <c r="C14" s="21"/>
      <c r="D14" s="21">
        <f t="shared" ref="D14:M14" si="0">((D5)*10^9/3600)+D12</f>
        <v>9.0242428326814164</v>
      </c>
      <c r="E14" s="21">
        <f t="shared" si="0"/>
        <v>1065.7253478882235</v>
      </c>
      <c r="F14" s="21"/>
      <c r="G14" s="21">
        <f t="shared" si="0"/>
        <v>208475.78383765387</v>
      </c>
      <c r="H14" s="21">
        <f t="shared" si="0"/>
        <v>31176.505963765609</v>
      </c>
      <c r="I14" s="21"/>
      <c r="J14" s="21"/>
      <c r="K14" s="21"/>
      <c r="L14" s="21"/>
      <c r="M14" s="21">
        <f t="shared" si="0"/>
        <v>10444.846086680591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0.21198587134831959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0.39538731071941691</v>
      </c>
      <c r="C18" s="23"/>
      <c r="D18" s="23">
        <f t="shared" ref="D18:M18" si="1">D14*D16</f>
        <v>1.8228970522016463</v>
      </c>
      <c r="E18" s="23">
        <f t="shared" si="1"/>
        <v>241.91965397062674</v>
      </c>
      <c r="F18" s="23"/>
      <c r="G18" s="23">
        <f t="shared" si="1"/>
        <v>55663.034284653586</v>
      </c>
      <c r="H18" s="23">
        <f t="shared" si="1"/>
        <v>7762.9499849776366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9.7824681258917249E-3</v>
      </c>
      <c r="H50" s="322">
        <f t="shared" si="2"/>
        <v>0</v>
      </c>
      <c r="I50" s="322">
        <f t="shared" si="2"/>
        <v>0</v>
      </c>
      <c r="J50" s="322">
        <f t="shared" si="2"/>
        <v>0</v>
      </c>
      <c r="K50" s="322">
        <f t="shared" si="2"/>
        <v>0</v>
      </c>
      <c r="L50" s="322">
        <f t="shared" si="2"/>
        <v>0</v>
      </c>
      <c r="M50" s="322">
        <f t="shared" si="2"/>
        <v>4.1698411650322587E-4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9.7824681258917249E-3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4.1698411650322587E-4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2717.3522571921458</v>
      </c>
      <c r="H54" s="21">
        <f t="shared" si="3"/>
        <v>0</v>
      </c>
      <c r="I54" s="21">
        <f t="shared" si="3"/>
        <v>0</v>
      </c>
      <c r="J54" s="21">
        <f t="shared" si="3"/>
        <v>0</v>
      </c>
      <c r="K54" s="21">
        <f t="shared" si="3"/>
        <v>0</v>
      </c>
      <c r="L54" s="21">
        <f t="shared" si="3"/>
        <v>0</v>
      </c>
      <c r="M54" s="21">
        <f t="shared" si="3"/>
        <v>115.82892125089607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0.21198587134831959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725.53305267030294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3997.3712888444697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3997.3712888444697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2018-06-27T09:03:12Z</dcterms:modified>
</cp:coreProperties>
</file>