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D12" i="22"/>
  <c r="E17" i="14"/>
  <c r="D13" i="48"/>
  <c r="D30" s="1"/>
  <c r="D31" i="20"/>
  <c r="E43" i="14" s="1"/>
  <c r="I101" i="18"/>
  <c r="H16" s="1"/>
  <c r="I78" i="14" s="1"/>
  <c r="I81"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I11" i="48"/>
  <c r="M11"/>
  <c r="M28" s="1"/>
  <c r="M19" i="19"/>
  <c r="N35" i="14" s="1"/>
  <c r="J7" i="15"/>
  <c r="O5" i="16"/>
  <c r="B7" i="18"/>
  <c r="B67" i="14" s="1"/>
  <c r="C80"/>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N15"/>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5" i="17" l="1"/>
  <c r="N8" s="1"/>
  <c r="H17" i="14"/>
  <c r="I19" i="18"/>
  <c r="J16"/>
  <c r="K78" i="14" s="1"/>
  <c r="L8" i="17"/>
  <c r="L7" i="48" s="1"/>
  <c r="L24" s="1"/>
  <c r="L5" i="17"/>
  <c r="J81" i="14"/>
  <c r="L29" i="48"/>
  <c r="G31" i="20"/>
  <c r="H43" i="14" s="1"/>
  <c r="F7" i="48"/>
  <c r="F24" s="1"/>
  <c r="L30"/>
  <c r="B100" i="18"/>
  <c r="C7" s="1"/>
  <c r="B35" i="13"/>
  <c r="B47" s="1"/>
  <c r="I69" i="14"/>
  <c r="J12" i="17"/>
  <c r="K48" i="14" s="1"/>
  <c r="F12" i="17"/>
  <c r="G48" i="14" s="1"/>
  <c r="F100" i="18"/>
  <c r="I7" s="1"/>
  <c r="E9"/>
  <c r="J41" i="14"/>
  <c r="G13" i="48"/>
  <c r="G30" s="1"/>
  <c r="E19" i="18"/>
  <c r="D81" i="14"/>
  <c r="O79"/>
  <c r="O81" s="1"/>
  <c r="B17" i="6" s="1"/>
  <c r="M23" i="48"/>
  <c r="L27"/>
  <c r="B9" i="18"/>
  <c r="M31" i="20"/>
  <c r="N43" i="14" s="1"/>
  <c r="M12" i="22"/>
  <c r="O18" i="16"/>
  <c r="B34" i="13"/>
  <c r="K22" i="14"/>
  <c r="M13"/>
  <c r="L8" i="48"/>
  <c r="L25" s="1"/>
  <c r="L22" i="16"/>
  <c r="M39" i="14" s="1"/>
  <c r="C7" i="48"/>
  <c r="D22" i="14"/>
  <c r="M22" i="48"/>
  <c r="B36" i="13"/>
  <c r="B48" s="1"/>
  <c r="C48" s="1"/>
  <c r="N5" s="1"/>
  <c r="N8" s="1"/>
  <c r="N4" i="48" s="1"/>
  <c r="N21" s="1"/>
  <c r="J7" i="18"/>
  <c r="O68" i="14"/>
  <c r="C68"/>
  <c r="F22"/>
  <c r="E8" i="17"/>
  <c r="D8" i="48"/>
  <c r="D25" s="1"/>
  <c r="D18" i="16"/>
  <c r="D22" s="1"/>
  <c r="E39" i="14" s="1"/>
  <c r="M22"/>
  <c r="M16" i="18"/>
  <c r="M19" s="1"/>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O22" i="14" l="1"/>
  <c r="R22" s="1"/>
  <c r="N7" i="48"/>
  <c r="N24" s="1"/>
  <c r="N12" i="17"/>
  <c r="O48" i="14" s="1"/>
  <c r="K81"/>
  <c r="C78"/>
  <c r="C81" s="1"/>
  <c r="R17"/>
  <c r="E19"/>
  <c r="E20" s="1"/>
  <c r="D67"/>
  <c r="C9" i="18"/>
  <c r="J19"/>
  <c r="E13" i="14"/>
  <c r="E15" s="1"/>
  <c r="E23" s="1"/>
  <c r="L12" i="17"/>
  <c r="M48" i="14" s="1"/>
  <c r="C14" i="48"/>
  <c r="E16" i="15"/>
  <c r="E20" s="1"/>
  <c r="F36" i="14" s="1"/>
  <c r="K67"/>
  <c r="K69" s="1"/>
  <c r="J9" i="18"/>
  <c r="J67" i="14"/>
  <c r="I9" i="18"/>
  <c r="M7"/>
  <c r="M9" s="1"/>
  <c r="K10" i="14"/>
  <c r="J16" i="15"/>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D69" i="14"/>
  <c r="O67"/>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13" l="1"/>
  <c r="F15" s="1"/>
  <c r="F23" s="1"/>
  <c r="F55" s="1"/>
  <c r="F22" i="16"/>
  <c r="G39" i="14" s="1"/>
  <c r="G41" s="1"/>
  <c r="G53" s="1"/>
  <c r="G55" s="1"/>
  <c r="O69" s="1"/>
  <c r="B9" i="6" s="1"/>
  <c r="B12" s="1"/>
  <c r="F8" i="48"/>
  <c r="N25"/>
  <c r="N31" s="1"/>
  <c r="N14"/>
  <c r="E8"/>
  <c r="Q8" s="1"/>
  <c r="Q14" s="1"/>
  <c r="J22" i="16"/>
  <c r="K39" i="14" s="1"/>
  <c r="K41" s="1"/>
  <c r="K53" s="1"/>
  <c r="J31" i="48"/>
  <c r="J14"/>
  <c r="R20" i="14"/>
  <c r="N55"/>
  <c r="H55"/>
  <c r="G31" i="48"/>
  <c r="O53" i="14"/>
  <c r="M53"/>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<sst xmlns="http://schemas.openxmlformats.org/spreadsheetml/2006/main" count="2038" uniqueCount="900">
  <si>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</si>
  <si>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</si>
  <si>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</si>
  <si>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</si>
  <si>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</si>
  <si>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</si>
  <si>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</si>
  <si>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</si>
  <si>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</si>
  <si>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</si>
  <si>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</si>
  <si>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</si>
  <si>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</si>
  <si>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</si>
  <si>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</si>
  <si>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</si>
  <si>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</si>
  <si>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</si>
  <si>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</si>
  <si>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</si>
  <si>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</si>
  <si>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</si>
  <si>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</si>
  <si>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</si>
  <si>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</si>
  <si>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</si>
  <si>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</si>
  <si>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</si>
  <si>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</si>
  <si>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</si>
  <si>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</si>
  <si>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</si>
  <si>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</si>
  <si>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</si>
  <si>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</si>
  <si>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</si>
  <si>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</si>
  <si>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</si>
  <si>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</si>
  <si>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</si>
  <si>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</si>
  <si>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</si>
  <si>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</si>
  <si>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</si>
  <si>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</si>
  <si>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</si>
  <si>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</si>
  <si>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</si>
  <si>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</si>
  <si>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</si>
  <si>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</si>
  <si>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</si>
  <si>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</si>
  <si>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</si>
  <si>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</si>
  <si>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</si>
  <si>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</si>
  <si>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</si>
  <si>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</si>
  <si>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</si>
  <si>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</si>
  <si>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</si>
  <si>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</si>
  <si>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</si>
  <si>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</si>
  <si>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</si>
  <si>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</si>
  <si>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</si>
  <si>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</si>
  <si>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</si>
  <si>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</si>
  <si>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</si>
  <si>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</si>
  <si>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</si>
  <si>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</si>
  <si>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</si>
  <si>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</si>
  <si>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</si>
  <si>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</si>
  <si>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</si>
  <si>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</si>
  <si>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</si>
  <si>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</si>
  <si>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</si>
  <si>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</si>
  <si>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</si>
  <si>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</si>
  <si>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</si>
  <si>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</si>
  <si>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</si>
  <si>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</si>
  <si>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</si>
  <si>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</si>
  <si>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</si>
  <si>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</si>
  <si>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</si>
  <si>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</si>
  <si>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</si>
  <si>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</si>
  <si>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</si>
  <si>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</si>
  <si>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</si>
  <si>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</si>
  <si>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</si>
  <si>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</si>
  <si>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</si>
  <si>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</si>
  <si>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</si>
  <si>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</si>
  <si>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</si>
  <si>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</si>
  <si>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</si>
  <si>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</si>
  <si>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</si>
  <si>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</si>
  <si>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</si>
  <si>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</si>
  <si>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</si>
  <si>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</si>
  <si>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</si>
  <si>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</si>
  <si>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</si>
  <si>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</si>
  <si>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</si>
  <si>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</si>
  <si>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</si>
  <si>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</si>
  <si>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</si>
  <si>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</si>
  <si>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</si>
  <si>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</si>
  <si>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</si>
  <si>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</si>
  <si>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</si>
  <si>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</si>
  <si>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</si>
  <si>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</si>
  <si>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</si>
  <si>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</si>
  <si>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</si>
  <si>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</si>
  <si>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</si>
  <si>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</si>
  <si>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</si>
  <si>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</si>
  <si>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</si>
  <si>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</si>
  <si>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</si>
  <si>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</si>
  <si>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</si>
  <si>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</si>
  <si>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</si>
  <si>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</si>
  <si>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</si>
  <si>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</si>
  <si>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</si>
  <si>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</si>
  <si>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</si>
  <si>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</si>
  <si>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</si>
  <si>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</si>
  <si>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</si>
  <si>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</si>
  <si>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</si>
  <si>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</si>
  <si>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</si>
  <si>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</si>
  <si>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</si>
  <si>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</si>
  <si>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</si>
  <si>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</si>
  <si>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</si>
  <si>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</si>
  <si>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</si>
  <si>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</si>
  <si>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</si>
  <si>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</si>
  <si>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</si>
  <si>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</si>
  <si>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</si>
  <si>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</si>
  <si>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</si>
  <si>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</si>
  <si>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</si>
  <si>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</si>
  <si>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</si>
  <si>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</si>
  <si>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</si>
  <si>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</si>
  <si>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</si>
  <si>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</si>
  <si>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</si>
  <si>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</si>
  <si>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</si>
  <si>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</si>
  <si>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</si>
  <si>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</si>
  <si>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</si>
  <si>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</si>
  <si>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</si>
  <si>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</si>
  <si>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</si>
  <si>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</si>
  <si>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</si>
  <si>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</si>
  <si>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</si>
  <si>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</si>
  <si>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</si>
  <si>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</si>
  <si>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</si>
  <si>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</si>
  <si>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</si>
  <si>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</si>
  <si>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</si>
  <si>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</si>
  <si>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</si>
  <si>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</si>
  <si>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</si>
  <si>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</si>
  <si>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</si>
  <si>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</si>
  <si>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</si>
  <si>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</si>
  <si>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</si>
  <si>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</si>
  <si>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</si>
  <si>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</si>
  <si>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</si>
  <si>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</si>
  <si>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</si>
  <si>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</si>
  <si>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</si>
  <si>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</si>
  <si>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</si>
  <si>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</si>
  <si>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</si>
  <si>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</si>
  <si>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</si>
  <si>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</si>
  <si>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</si>
  <si>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</si>
  <si>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</si>
  <si>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</si>
  <si>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</si>
  <si>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</si>
  <si>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</si>
  <si>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</si>
  <si>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</si>
  <si>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</si>
  <si>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</si>
  <si>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</si>
  <si>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</si>
  <si>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</si>
  <si>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</si>
  <si>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</si>
  <si>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</si>
  <si>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</si>
  <si>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</si>
  <si>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</si>
  <si>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</si>
  <si>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</si>
  <si>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</si>
  <si>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</si>
  <si>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</si>
  <si>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</si>
  <si>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</si>
  <si>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</si>
  <si>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</si>
  <si>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</si>
  <si>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</si>
  <si>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</si>
  <si>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</si>
  <si>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</si>
  <si>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</si>
  <si>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</si>
  <si>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</si>
  <si>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</si>
  <si>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</si>
  <si>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</si>
  <si>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</si>
  <si>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</si>
  <si>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</si>
  <si>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</si>
  <si>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</si>
  <si>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</si>
  <si>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</si>
  <si>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</si>
  <si>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</si>
  <si>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</si>
  <si>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</si>
  <si>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</si>
  <si>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</si>
  <si>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</si>
  <si>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</si>
  <si>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</si>
  <si>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</si>
  <si>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</si>
  <si>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</si>
  <si>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</si>
  <si>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</si>
  <si>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</si>
  <si>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</si>
  <si>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</si>
  <si>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</si>
  <si>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</si>
  <si>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</si>
  <si>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</si>
  <si>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</si>
  <si>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</si>
  <si>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</si>
  <si>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</si>
  <si>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</si>
  <si>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</si>
  <si>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</si>
  <si>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</si>
  <si>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</si>
  <si>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</si>
  <si>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</si>
  <si>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</si>
  <si>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</si>
  <si>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</si>
  <si>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</si>
  <si>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</si>
  <si>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</si>
  <si>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</si>
  <si>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</si>
  <si>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</si>
  <si>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</si>
  <si>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</si>
  <si>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</si>
  <si>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</si>
  <si>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</si>
  <si>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</si>
  <si>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</si>
  <si>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</si>
  <si>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</si>
  <si>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</si>
  <si>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</si>
  <si>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</si>
  <si>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</si>
  <si>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</si>
  <si>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</si>
  <si>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</si>
  <si>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</si>
  <si>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</si>
  <si>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</si>
  <si>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</si>
  <si>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</si>
  <si>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</si>
  <si>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</si>
  <si>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</si>
  <si>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</si>
  <si>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</si>
  <si>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</si>
  <si>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</si>
  <si>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</si>
  <si>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</si>
  <si>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</si>
  <si>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</si>
  <si>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</si>
  <si>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</si>
  <si>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</si>
  <si>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</si>
  <si>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</si>
  <si>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</si>
  <si>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</si>
  <si>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</si>
  <si>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</si>
  <si>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</si>
  <si>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</si>
  <si>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</si>
  <si>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</si>
  <si>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</si>
  <si>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</si>
  <si>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</si>
  <si>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</si>
  <si>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</si>
  <si>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</si>
  <si>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</si>
  <si>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</si>
  <si>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</si>
  <si>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</si>
  <si>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</si>
  <si>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</si>
  <si>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</si>
  <si>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</si>
  <si>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</si>
  <si>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</si>
  <si>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</si>
  <si>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</si>
  <si>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</si>
  <si>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</si>
  <si>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</si>
  <si>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</si>
  <si>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</si>
  <si>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</si>
  <si>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</si>
  <si>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</si>
  <si>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</si>
  <si>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</si>
  <si>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</si>
  <si>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</si>
  <si>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</si>
  <si>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</si>
  <si>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</si>
  <si>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</si>
  <si>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</si>
  <si>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</si>
  <si>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</si>
  <si>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</si>
  <si>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</si>
  <si>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</si>
  <si>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</si>
  <si>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</si>
  <si>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</si>
  <si>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</si>
  <si>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</si>
  <si>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</si>
  <si>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</si>
  <si>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</si>
  <si>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</si>
  <si>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</si>
  <si>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</si>
  <si>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</si>
  <si>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</si>
  <si>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</si>
  <si>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</si>
  <si>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</si>
  <si>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</si>
  <si>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</si>
  <si>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</si>
  <si>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</si>
  <si>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</si>
  <si>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</si>
  <si>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</si>
  <si>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</si>
  <si>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</si>
  <si>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</si>
  <si>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</si>
  <si>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</si>
  <si>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</si>
  <si>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</si>
  <si>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</si>
  <si>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</si>
  <si>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</si>
  <si>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</si>
  <si>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</si>
  <si>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</si>
  <si>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</si>
  <si>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</si>
  <si>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</si>
  <si>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</si>
  <si>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</si>
  <si>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</si>
  <si>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</si>
  <si>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</si>
  <si>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</si>
  <si>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</si>
  <si>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</si>
  <si>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</si>
  <si>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</si>
  <si>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</si>
  <si>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</si>
  <si>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</si>
  <si>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</si>
  <si>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</si>
  <si>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</si>
  <si>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</si>
  <si>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</si>
  <si>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</si>
  <si>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</si>
  <si>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</si>
  <si>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</si>
  <si>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</si>
  <si>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</si>
  <si>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</si>
  <si>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</si>
  <si>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</si>
  <si>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</si>
  <si>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</si>
  <si>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</si>
  <si>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</si>
  <si>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</si>
  <si>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</si>
  <si>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</si>
  <si>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</si>
  <si>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</si>
  <si>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</si>
  <si>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</si>
  <si>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</si>
  <si>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</si>
  <si>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</si>
  <si>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</si>
  <si>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</si>
  <si>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</si>
  <si>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</si>
  <si>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</si>
  <si>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</si>
  <si>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</si>
  <si>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</si>
  <si>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</si>
  <si>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</si>
  <si>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</si>
  <si>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</si>
  <si>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</si>
  <si>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</si>
  <si>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</si>
  <si>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</si>
  <si>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</si>
  <si>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</si>
  <si>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</si>
  <si>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</si>
  <si>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</si>
  <si>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</si>
  <si>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</si>
  <si>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</si>
  <si>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</si>
  <si>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</si>
  <si>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</si>
  <si>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</si>
  <si>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</si>
  <si>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</si>
  <si>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</si>
  <si>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</si>
  <si>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</si>
  <si>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</si>
  <si>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</si>
  <si>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</si>
  <si>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</si>
  <si>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</si>
  <si>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</si>
  <si>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</si>
  <si>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</si>
  <si>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</si>
  <si>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</si>
  <si>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</si>
  <si>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</si>
  <si>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</si>
  <si>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</si>
  <si>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</si>
  <si>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</si>
  <si>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</si>
  <si>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</si>
  <si>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</si>
  <si>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</si>
  <si>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</si>
  <si>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</si>
  <si>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</si>
  <si>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</si>
  <si>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</si>
  <si>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</si>
  <si>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</si>
  <si>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</si>
  <si>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</si>
  <si>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</si>
  <si>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</si>
  <si>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</si>
  <si>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</si>
  <si>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</si>
  <si>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</si>
  <si>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</si>
  <si>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</si>
  <si>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</si>
  <si>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</si>
  <si>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</si>
  <si>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</si>
  <si>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</si>
  <si>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</si>
  <si>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</si>
  <si>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</si>
  <si>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</si>
  <si>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</si>
  <si>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</si>
  <si>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</si>
  <si>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</si>
  <si>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</si>
  <si>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</si>
  <si>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</si>
  <si>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</si>
  <si>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</si>
  <si>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</si>
  <si>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</si>
  <si>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</si>
  <si>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</si>
  <si>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</si>
  <si>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</si>
  <si>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</si>
  <si>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</si>
  <si>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</si>
  <si>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</si>
  <si>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</si>
  <si>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</si>
  <si>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</si>
  <si>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</si>
  <si>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</si>
  <si>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</si>
  <si>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</si>
  <si>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</si>
  <si>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</si>
  <si>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</si>
  <si>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</si>
  <si>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</si>
  <si>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</si>
  <si>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</si>
  <si>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</si>
  <si>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</si>
  <si>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</si>
  <si>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</si>
  <si>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</si>
  <si>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</si>
  <si>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</si>
  <si>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</si>
  <si>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</si>
  <si>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</si>
  <si>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</si>
  <si>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</si>
  <si>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</si>
  <si>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</si>
  <si>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</si>
  <si>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</si>
  <si>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</si>
  <si>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</si>
  <si>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</si>
  <si>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</si>
  <si>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</si>
  <si>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</si>
  <si>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</si>
  <si>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</si>
  <si>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</si>
  <si>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</si>
  <si>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</si>
  <si>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</si>
  <si>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</si>
  <si>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</si>
  <si>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</si>
  <si>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</si>
  <si>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</si>
  <si>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</si>
  <si>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</si>
  <si>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</si>
  <si>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</si>
  <si>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</si>
  <si>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</si>
  <si>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</si>
  <si>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</si>
  <si>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</si>
  <si>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</si>
  <si>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</si>
  <si>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</si>
  <si>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</si>
  <si>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</si>
  <si>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</si>
  <si>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</si>
  <si>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</si>
  <si>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</si>
  <si>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</si>
  <si>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</si>
  <si>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</si>
  <si>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</si>
  <si>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</si>
  <si>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</si>
  <si>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</si>
  <si>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</si>
  <si>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</si>
  <si>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</si>
  <si>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</si>
  <si>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</si>
  <si>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</si>
  <si>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</si>
  <si>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</si>
  <si>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</si>
  <si>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</si>
  <si>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</si>
  <si>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</si>
  <si>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</si>
  <si>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</si>
  <si>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</si>
  <si>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</si>
  <si>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</si>
  <si>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</si>
  <si>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</si>
  <si>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</si>
  <si>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</si>
  <si>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</si>
  <si>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</si>
  <si>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</si>
  <si>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</si>
  <si>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</si>
  <si>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</si>
  <si>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</si>
  <si>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</si>
  <si>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</si>
  <si>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</si>
  <si>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</si>
  <si>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</si>
  <si>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</si>
  <si>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</si>
  <si>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</si>
  <si>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</si>
  <si>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</si>
  <si>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</si>
  <si>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</si>
  <si>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</si>
  <si>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</si>
  <si>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</si>
  <si>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</si>
  <si>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</si>
  <si>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</si>
  <si>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</si>
  <si>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</si>
  <si>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</si>
  <si>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</si>
  <si>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</si>
  <si>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</si>
  <si>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</si>
  <si>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</si>
  <si>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</si>
  <si>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</si>
  <si>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</si>
  <si>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</si>
  <si>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</si>
  <si>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</si>
  <si>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</si>
  <si>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</si>
  <si>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</si>
  <si>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</si>
  <si>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</si>
  <si>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</si>
  <si>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</si>
  <si>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</si>
  <si>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</si>
  <si>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</si>
  <si>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</si>
  <si>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</si>
  <si>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</si>
  <si>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</si>
  <si>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</si>
  <si>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</si>
  <si>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</si>
  <si>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</si>
  <si>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</si>
  <si>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</si>
  <si>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</si>
  <si>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</si>
  <si>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</si>
  <si>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</si>
  <si>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</si>
  <si>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</si>
  <si>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</si>
  <si>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</si>
  <si>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</si>
  <si>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</si>
  <si>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</si>
  <si>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</si>
  <si>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</si>
  <si>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</si>
  <si>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</si>
  <si>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</si>
  <si>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</si>
  <si>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</si>
  <si>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</si>
  <si>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</si>
  <si>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</si>
  <si>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</si>
  <si>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</si>
  <si>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</si>
  <si>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</si>
  <si>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</si>
  <si>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</si>
  <si>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</si>
  <si>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</si>
  <si>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</si>
  <si>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</si>
  <si>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</si>
  <si>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</si>
  <si>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</si>
  <si>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</si>
  <si>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</si>
  <si>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</si>
  <si>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</si>
  <si>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</si>
  <si>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</si>
  <si>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</si>
  <si>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</si>
  <si>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</si>
  <si>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</si>
  <si>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</si>
  <si>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</si>
  <si>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</si>
  <si>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</si>
  <si>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</si>
  <si>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</si>
  <si>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</si>
  <si>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</si>
  <si>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</si>
  <si>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</si>
  <si>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</si>
  <si>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</si>
  <si>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</si>
  <si>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</si>
  <si>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</si>
  <si>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</si>
  <si>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</si>
  <si>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</si>
  <si>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</si>
  <si>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</si>
  <si>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</si>
  <si>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</si>
  <si>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</si>
  <si>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</si>
  <si>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</si>
  <si>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</si>
  <si>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</si>
  <si>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</si>
  <si>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</si>
  <si>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</si>
  <si>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</si>
  <si>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</si>
  <si>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</si>
  <si>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</si>
  <si>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</si>
  <si>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</si>
  <si>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</si>
  <si>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</si>
  <si>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</si>
  <si>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</si>
  <si>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</si>
  <si>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</si>
  <si>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</si>
  <si>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</si>
  <si>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</si>
  <si>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</si>
  <si>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</si>
  <si>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</si>
  <si>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</si>
  <si>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</si>
  <si>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</si>
  <si>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</si>
  <si>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</si>
  <si>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</si>
  <si>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</si>
  <si>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</si>
  <si>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</si>
  <si>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</si>
  <si>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</si>
  <si>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</si>
  <si>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</si>
  <si>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</si>
  <si>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</si>
  <si>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</si>
  <si>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</si>
  <si>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</si>
  <si>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</si>
  <si>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</si>
  <si>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</si>
  <si>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</si>
  <si>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</si>
  <si>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</si>
  <si>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</si>
  <si>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</si>
  <si>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</si>
  <si>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</si>
  <si>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</si>
  <si>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</si>
  <si>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</si>
  <si>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</si>
  <si>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</si>
  <si>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</si>
  <si>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</si>
  <si>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</si>
  <si>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</si>
  <si>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</si>
  <si>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</si>
  <si>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</si>
  <si>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</si>
  <si>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</si>
  <si>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</si>
  <si>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</si>
  <si>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</si>
  <si>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</si>
  <si>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</si>
  <si>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</si>
  <si>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</si>
  <si>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</si>
  <si>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</si>
  <si>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71057</t>
  </si>
  <si>
    <t>TESSENDERLO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</si>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</sst>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71057</v>
      </c>
      <c r="B6" s="396"/>
      <c r="C6" s="397"/>
    </row>
    <row r="7" spans="1:7" s="394" customFormat="1" ht="15.75" customHeight="1">
      <c r="A7" s="398" t="str">
        <f>txtMunicipality</f>
        <v>TESSENDERLO</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23541.663999999997</v>
      </c>
      <c r="D10" s="702">
        <f ca="1">tertiair!C16</f>
        <v>34.071428571428577</v>
      </c>
      <c r="E10" s="702">
        <f ca="1">tertiair!D16</f>
        <v>16131.761808857143</v>
      </c>
      <c r="F10" s="702">
        <f>tertiair!E16</f>
        <v>396.14994107881046</v>
      </c>
      <c r="G10" s="702">
        <f ca="1">tertiair!F16</f>
        <v>4082.0948512844593</v>
      </c>
      <c r="H10" s="702">
        <f>tertiair!G16</f>
        <v>0</v>
      </c>
      <c r="I10" s="702">
        <f>tertiair!H16</f>
        <v>0</v>
      </c>
      <c r="J10" s="702">
        <f>tertiair!I16</f>
        <v>0</v>
      </c>
      <c r="K10" s="702">
        <f>tertiair!J16</f>
        <v>0</v>
      </c>
      <c r="L10" s="702">
        <f>tertiair!K16</f>
        <v>0</v>
      </c>
      <c r="M10" s="702">
        <f ca="1">tertiair!L16</f>
        <v>0</v>
      </c>
      <c r="N10" s="702">
        <f>tertiair!M16</f>
        <v>0</v>
      </c>
      <c r="O10" s="702">
        <f ca="1">tertiair!N16</f>
        <v>863.60681032526395</v>
      </c>
      <c r="P10" s="702">
        <f>tertiair!O16</f>
        <v>0</v>
      </c>
      <c r="Q10" s="703">
        <f>tertiair!P16</f>
        <v>0</v>
      </c>
      <c r="R10" s="705">
        <f ca="1">SUM(C10:Q10)</f>
        <v>45049.348840117105</v>
      </c>
      <c r="S10" s="67"/>
    </row>
    <row r="11" spans="1:19" s="457" customFormat="1">
      <c r="A11" s="858" t="s">
        <v>226</v>
      </c>
      <c r="B11" s="863"/>
      <c r="C11" s="702">
        <f>huishoudens!B8</f>
        <v>34326.497266557315</v>
      </c>
      <c r="D11" s="702">
        <f>huishoudens!C8</f>
        <v>0</v>
      </c>
      <c r="E11" s="702">
        <f>huishoudens!D8</f>
        <v>46231.954978000002</v>
      </c>
      <c r="F11" s="702">
        <f>huishoudens!E8</f>
        <v>5243.4623092522816</v>
      </c>
      <c r="G11" s="702">
        <f>huishoudens!F8</f>
        <v>58247.979420994285</v>
      </c>
      <c r="H11" s="702">
        <f>huishoudens!G8</f>
        <v>0</v>
      </c>
      <c r="I11" s="702">
        <f>huishoudens!H8</f>
        <v>0</v>
      </c>
      <c r="J11" s="702">
        <f>huishoudens!I8</f>
        <v>0</v>
      </c>
      <c r="K11" s="702">
        <f>huishoudens!J8</f>
        <v>0</v>
      </c>
      <c r="L11" s="702">
        <f>huishoudens!K8</f>
        <v>0</v>
      </c>
      <c r="M11" s="702">
        <f>huishoudens!L8</f>
        <v>0</v>
      </c>
      <c r="N11" s="702">
        <f>huishoudens!M8</f>
        <v>0</v>
      </c>
      <c r="O11" s="702">
        <f>huishoudens!N8</f>
        <v>16050.620294931623</v>
      </c>
      <c r="P11" s="702">
        <f>huishoudens!O8</f>
        <v>140.70000000000002</v>
      </c>
      <c r="Q11" s="703">
        <f>huishoudens!P8</f>
        <v>495.73333333333335</v>
      </c>
      <c r="R11" s="705">
        <f>SUM(C11:Q11)</f>
        <v>160736.94760306887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143023.36799999999</v>
      </c>
      <c r="D13" s="702">
        <f>industrie!C18</f>
        <v>0</v>
      </c>
      <c r="E13" s="702">
        <f>industrie!D18</f>
        <v>25217.285258000004</v>
      </c>
      <c r="F13" s="702">
        <f>industrie!E18</f>
        <v>2844.5646113992002</v>
      </c>
      <c r="G13" s="702">
        <f>industrie!F18</f>
        <v>18042.63882097858</v>
      </c>
      <c r="H13" s="702">
        <f>industrie!G18</f>
        <v>0</v>
      </c>
      <c r="I13" s="702">
        <f>industrie!H18</f>
        <v>0</v>
      </c>
      <c r="J13" s="702">
        <f>industrie!I18</f>
        <v>0</v>
      </c>
      <c r="K13" s="702">
        <f>industrie!J18</f>
        <v>1206.8121276640343</v>
      </c>
      <c r="L13" s="702">
        <f>industrie!K18</f>
        <v>0</v>
      </c>
      <c r="M13" s="702">
        <f>industrie!L18</f>
        <v>0</v>
      </c>
      <c r="N13" s="702">
        <f>industrie!M18</f>
        <v>0</v>
      </c>
      <c r="O13" s="702">
        <f>industrie!N18</f>
        <v>504.1230795296882</v>
      </c>
      <c r="P13" s="702">
        <f>industrie!O18</f>
        <v>0</v>
      </c>
      <c r="Q13" s="703">
        <f>industrie!P18</f>
        <v>0</v>
      </c>
      <c r="R13" s="705">
        <f>SUM(C13:Q13)</f>
        <v>190838.7918975715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200891.52926655731</v>
      </c>
      <c r="D15" s="707">
        <f t="shared" ref="D15:Q15" ca="1" si="0">SUM(D9:D14)</f>
        <v>34.071428571428577</v>
      </c>
      <c r="E15" s="707">
        <f t="shared" ca="1" si="0"/>
        <v>87581.002044857145</v>
      </c>
      <c r="F15" s="707">
        <f t="shared" si="0"/>
        <v>8484.1768617302914</v>
      </c>
      <c r="G15" s="707">
        <f t="shared" ca="1" si="0"/>
        <v>80372.713093257335</v>
      </c>
      <c r="H15" s="707">
        <f t="shared" si="0"/>
        <v>0</v>
      </c>
      <c r="I15" s="707">
        <f t="shared" si="0"/>
        <v>0</v>
      </c>
      <c r="J15" s="707">
        <f t="shared" si="0"/>
        <v>0</v>
      </c>
      <c r="K15" s="707">
        <f t="shared" si="0"/>
        <v>1206.8121276640343</v>
      </c>
      <c r="L15" s="707">
        <f t="shared" si="0"/>
        <v>0</v>
      </c>
      <c r="M15" s="707">
        <f t="shared" ca="1" si="0"/>
        <v>0</v>
      </c>
      <c r="N15" s="707">
        <f t="shared" si="0"/>
        <v>0</v>
      </c>
      <c r="O15" s="707">
        <f t="shared" ca="1" si="0"/>
        <v>17418.350184786574</v>
      </c>
      <c r="P15" s="707">
        <f t="shared" si="0"/>
        <v>140.70000000000002</v>
      </c>
      <c r="Q15" s="708">
        <f t="shared" si="0"/>
        <v>495.73333333333335</v>
      </c>
      <c r="R15" s="709">
        <f ca="1">SUM(R9:R14)</f>
        <v>396625.08834075747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2153.9631120987201</v>
      </c>
      <c r="I18" s="702">
        <f>transport!H54</f>
        <v>0</v>
      </c>
      <c r="J18" s="702">
        <f>transport!I54</f>
        <v>0</v>
      </c>
      <c r="K18" s="702">
        <f>transport!J54</f>
        <v>0</v>
      </c>
      <c r="L18" s="702">
        <f>transport!K54</f>
        <v>0</v>
      </c>
      <c r="M18" s="702">
        <f>transport!L54</f>
        <v>0</v>
      </c>
      <c r="N18" s="702">
        <f>transport!M54</f>
        <v>91.814089626502195</v>
      </c>
      <c r="O18" s="702">
        <f>transport!N54</f>
        <v>0</v>
      </c>
      <c r="P18" s="702">
        <f>transport!O54</f>
        <v>0</v>
      </c>
      <c r="Q18" s="703">
        <f>transport!P54</f>
        <v>0</v>
      </c>
      <c r="R18" s="705">
        <f>SUM(C18:Q18)</f>
        <v>2245.7772017252223</v>
      </c>
      <c r="S18" s="67"/>
    </row>
    <row r="19" spans="1:19" s="457" customFormat="1" ht="15" thickBot="1">
      <c r="A19" s="858" t="s">
        <v>308</v>
      </c>
      <c r="B19" s="863"/>
      <c r="C19" s="711">
        <f>transport!B14</f>
        <v>1.0640404278488869</v>
      </c>
      <c r="D19" s="711">
        <f>transport!C14</f>
        <v>0</v>
      </c>
      <c r="E19" s="711">
        <f>transport!D14</f>
        <v>5.7966313227047124</v>
      </c>
      <c r="F19" s="711">
        <f>transport!E14</f>
        <v>622.34097748057741</v>
      </c>
      <c r="G19" s="711">
        <f>transport!F14</f>
        <v>0</v>
      </c>
      <c r="H19" s="711">
        <f>transport!G14</f>
        <v>110172.44584443812</v>
      </c>
      <c r="I19" s="711">
        <f>transport!H14</f>
        <v>19448.926091937225</v>
      </c>
      <c r="J19" s="711">
        <f>transport!I14</f>
        <v>0</v>
      </c>
      <c r="K19" s="711">
        <f>transport!J14</f>
        <v>0</v>
      </c>
      <c r="L19" s="711">
        <f>transport!K14</f>
        <v>0</v>
      </c>
      <c r="M19" s="711">
        <f>transport!L14</f>
        <v>0</v>
      </c>
      <c r="N19" s="711">
        <f>transport!M14</f>
        <v>5657.3056646912446</v>
      </c>
      <c r="O19" s="711">
        <f>transport!N14</f>
        <v>0</v>
      </c>
      <c r="P19" s="711">
        <f>transport!O14</f>
        <v>0</v>
      </c>
      <c r="Q19" s="712">
        <f>transport!P14</f>
        <v>0</v>
      </c>
      <c r="R19" s="713">
        <f>SUM(C19:Q19)</f>
        <v>135907.87925029773</v>
      </c>
      <c r="S19" s="67"/>
    </row>
    <row r="20" spans="1:19" s="457" customFormat="1" ht="15.75" thickBot="1">
      <c r="A20" s="714" t="s">
        <v>231</v>
      </c>
      <c r="B20" s="866"/>
      <c r="C20" s="861">
        <f>SUM(C17:C19)</f>
        <v>1.0640404278488869</v>
      </c>
      <c r="D20" s="715">
        <f t="shared" ref="D20:R20" si="1">SUM(D17:D19)</f>
        <v>0</v>
      </c>
      <c r="E20" s="715">
        <f t="shared" si="1"/>
        <v>5.7966313227047124</v>
      </c>
      <c r="F20" s="715">
        <f t="shared" si="1"/>
        <v>622.34097748057741</v>
      </c>
      <c r="G20" s="715">
        <f t="shared" si="1"/>
        <v>0</v>
      </c>
      <c r="H20" s="715">
        <f t="shared" si="1"/>
        <v>112326.40895653683</v>
      </c>
      <c r="I20" s="715">
        <f t="shared" si="1"/>
        <v>19448.926091937225</v>
      </c>
      <c r="J20" s="715">
        <f t="shared" si="1"/>
        <v>0</v>
      </c>
      <c r="K20" s="715">
        <f t="shared" si="1"/>
        <v>0</v>
      </c>
      <c r="L20" s="715">
        <f t="shared" si="1"/>
        <v>0</v>
      </c>
      <c r="M20" s="715">
        <f t="shared" si="1"/>
        <v>0</v>
      </c>
      <c r="N20" s="715">
        <f t="shared" si="1"/>
        <v>5749.1197543177468</v>
      </c>
      <c r="O20" s="715">
        <f t="shared" si="1"/>
        <v>0</v>
      </c>
      <c r="P20" s="715">
        <f t="shared" si="1"/>
        <v>0</v>
      </c>
      <c r="Q20" s="716">
        <f t="shared" si="1"/>
        <v>0</v>
      </c>
      <c r="R20" s="717">
        <f t="shared" si="1"/>
        <v>138153.65645202296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464.62900000000002</v>
      </c>
      <c r="D22" s="711">
        <f>+landbouw!C8</f>
        <v>0</v>
      </c>
      <c r="E22" s="711">
        <f>+landbouw!D8</f>
        <v>21.682276000000002</v>
      </c>
      <c r="F22" s="711">
        <f>+landbouw!E8</f>
        <v>4.8656954760765423</v>
      </c>
      <c r="G22" s="711">
        <f>+landbouw!F8</f>
        <v>2386.4085242121855</v>
      </c>
      <c r="H22" s="711">
        <f>+landbouw!G8</f>
        <v>0</v>
      </c>
      <c r="I22" s="711">
        <f>+landbouw!H8</f>
        <v>0</v>
      </c>
      <c r="J22" s="711">
        <f>+landbouw!I8</f>
        <v>0</v>
      </c>
      <c r="K22" s="711">
        <f>+landbouw!J8</f>
        <v>41.495534240772649</v>
      </c>
      <c r="L22" s="711">
        <f>+landbouw!K8</f>
        <v>0</v>
      </c>
      <c r="M22" s="711">
        <f>+landbouw!L8</f>
        <v>0</v>
      </c>
      <c r="N22" s="711">
        <f>+landbouw!M8</f>
        <v>0</v>
      </c>
      <c r="O22" s="711">
        <f>+landbouw!N8</f>
        <v>0</v>
      </c>
      <c r="P22" s="711">
        <f>+landbouw!O8</f>
        <v>0</v>
      </c>
      <c r="Q22" s="712">
        <f>+landbouw!P8</f>
        <v>0</v>
      </c>
      <c r="R22" s="713">
        <f>SUM(C22:Q22)</f>
        <v>2919.0810299290347</v>
      </c>
      <c r="S22" s="67"/>
    </row>
    <row r="23" spans="1:19" s="457" customFormat="1" ht="17.25" thickTop="1" thickBot="1">
      <c r="A23" s="718" t="s">
        <v>116</v>
      </c>
      <c r="B23" s="852"/>
      <c r="C23" s="719">
        <f ca="1">C20+C15+C22</f>
        <v>201357.22230698515</v>
      </c>
      <c r="D23" s="719">
        <f t="shared" ref="D23:Q23" ca="1" si="2">D20+D15+D22</f>
        <v>34.071428571428577</v>
      </c>
      <c r="E23" s="719">
        <f t="shared" ca="1" si="2"/>
        <v>87608.48095217986</v>
      </c>
      <c r="F23" s="719">
        <f t="shared" si="2"/>
        <v>9111.3835346869455</v>
      </c>
      <c r="G23" s="719">
        <f t="shared" ca="1" si="2"/>
        <v>82759.121617469515</v>
      </c>
      <c r="H23" s="719">
        <f t="shared" si="2"/>
        <v>112326.40895653683</v>
      </c>
      <c r="I23" s="719">
        <f t="shared" si="2"/>
        <v>19448.926091937225</v>
      </c>
      <c r="J23" s="719">
        <f t="shared" si="2"/>
        <v>0</v>
      </c>
      <c r="K23" s="719">
        <f t="shared" si="2"/>
        <v>1248.307661904807</v>
      </c>
      <c r="L23" s="719">
        <f t="shared" si="2"/>
        <v>0</v>
      </c>
      <c r="M23" s="719">
        <f t="shared" ca="1" si="2"/>
        <v>0</v>
      </c>
      <c r="N23" s="719">
        <f t="shared" si="2"/>
        <v>5749.1197543177468</v>
      </c>
      <c r="O23" s="719">
        <f t="shared" ca="1" si="2"/>
        <v>17418.350184786574</v>
      </c>
      <c r="P23" s="719">
        <f t="shared" si="2"/>
        <v>140.70000000000002</v>
      </c>
      <c r="Q23" s="720">
        <f t="shared" si="2"/>
        <v>495.73333333333335</v>
      </c>
      <c r="R23" s="721">
        <f ca="1">R20+R15+R22</f>
        <v>537697.82582270936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5114.1015342828432</v>
      </c>
      <c r="D36" s="702">
        <f ca="1">tertiair!C20</f>
        <v>8.0969747899159685</v>
      </c>
      <c r="E36" s="702">
        <f ca="1">tertiair!D20</f>
        <v>3258.6158853891434</v>
      </c>
      <c r="F36" s="702">
        <f>tertiair!E20</f>
        <v>89.926036624889974</v>
      </c>
      <c r="G36" s="702">
        <f ca="1">tertiair!F20</f>
        <v>1089.9193252929506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9560.6597563797422</v>
      </c>
    </row>
    <row r="37" spans="1:18">
      <c r="A37" s="873" t="s">
        <v>226</v>
      </c>
      <c r="B37" s="880"/>
      <c r="C37" s="702">
        <f ca="1">huishoudens!B12</f>
        <v>7456.957687334957</v>
      </c>
      <c r="D37" s="702">
        <f ca="1">huishoudens!C12</f>
        <v>0</v>
      </c>
      <c r="E37" s="702">
        <f>huishoudens!D12</f>
        <v>9338.8549055560015</v>
      </c>
      <c r="F37" s="702">
        <f>huishoudens!E12</f>
        <v>1190.265944200268</v>
      </c>
      <c r="G37" s="702">
        <f>huishoudens!F12</f>
        <v>15552.210505405475</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33538.289042496704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31069.852399860083</v>
      </c>
      <c r="D39" s="702">
        <f ca="1">industrie!C22</f>
        <v>0</v>
      </c>
      <c r="E39" s="702">
        <f>industrie!D22</f>
        <v>5093.8916221160007</v>
      </c>
      <c r="F39" s="702">
        <f>industrie!E22</f>
        <v>645.71616678761848</v>
      </c>
      <c r="G39" s="702">
        <f>industrie!F22</f>
        <v>4817.3845652012815</v>
      </c>
      <c r="H39" s="702">
        <f>industrie!G22</f>
        <v>0</v>
      </c>
      <c r="I39" s="702">
        <f>industrie!H22</f>
        <v>0</v>
      </c>
      <c r="J39" s="702">
        <f>industrie!I22</f>
        <v>0</v>
      </c>
      <c r="K39" s="702">
        <f>industrie!J22</f>
        <v>427.21149319306812</v>
      </c>
      <c r="L39" s="702">
        <f>industrie!K22</f>
        <v>0</v>
      </c>
      <c r="M39" s="702">
        <f>industrie!L22</f>
        <v>0</v>
      </c>
      <c r="N39" s="702">
        <f>industrie!M22</f>
        <v>0</v>
      </c>
      <c r="O39" s="702">
        <f>industrie!N22</f>
        <v>0</v>
      </c>
      <c r="P39" s="702">
        <f>industrie!O22</f>
        <v>0</v>
      </c>
      <c r="Q39" s="812">
        <f>industrie!P22</f>
        <v>0</v>
      </c>
      <c r="R39" s="906">
        <f ca="1">SUM(C39:Q39)</f>
        <v>42054.056247158056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43640.911621477884</v>
      </c>
      <c r="D41" s="747">
        <f t="shared" ref="D41:R41" ca="1" si="4">SUM(D35:D40)</f>
        <v>8.0969747899159685</v>
      </c>
      <c r="E41" s="747">
        <f t="shared" ca="1" si="4"/>
        <v>17691.362413061146</v>
      </c>
      <c r="F41" s="747">
        <f t="shared" si="4"/>
        <v>1925.9081476127765</v>
      </c>
      <c r="G41" s="747">
        <f t="shared" ca="1" si="4"/>
        <v>21459.514395899707</v>
      </c>
      <c r="H41" s="747">
        <f t="shared" si="4"/>
        <v>0</v>
      </c>
      <c r="I41" s="747">
        <f t="shared" si="4"/>
        <v>0</v>
      </c>
      <c r="J41" s="747">
        <f t="shared" si="4"/>
        <v>0</v>
      </c>
      <c r="K41" s="747">
        <f t="shared" si="4"/>
        <v>427.21149319306812</v>
      </c>
      <c r="L41" s="747">
        <f t="shared" si="4"/>
        <v>0</v>
      </c>
      <c r="M41" s="747">
        <f t="shared" ca="1" si="4"/>
        <v>0</v>
      </c>
      <c r="N41" s="747">
        <f t="shared" si="4"/>
        <v>0</v>
      </c>
      <c r="O41" s="747">
        <f t="shared" ca="1" si="4"/>
        <v>0</v>
      </c>
      <c r="P41" s="747">
        <f t="shared" si="4"/>
        <v>0</v>
      </c>
      <c r="Q41" s="748">
        <f t="shared" si="4"/>
        <v>0</v>
      </c>
      <c r="R41" s="749">
        <f t="shared" ca="1" si="4"/>
        <v>85153.005046034494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575.10815093035831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575.10815093035831</v>
      </c>
    </row>
    <row r="45" spans="1:18" ht="15" thickBot="1">
      <c r="A45" s="876" t="s">
        <v>308</v>
      </c>
      <c r="B45" s="886"/>
      <c r="C45" s="711">
        <f ca="1">transport!B18</f>
        <v>0.23114809490955973</v>
      </c>
      <c r="D45" s="711">
        <f>transport!C18</f>
        <v>0</v>
      </c>
      <c r="E45" s="711">
        <f>transport!D18</f>
        <v>1.1709195271863519</v>
      </c>
      <c r="F45" s="711">
        <f>transport!E18</f>
        <v>141.27140188809108</v>
      </c>
      <c r="G45" s="711">
        <f>transport!F18</f>
        <v>0</v>
      </c>
      <c r="H45" s="711">
        <f>transport!G18</f>
        <v>29416.043040464978</v>
      </c>
      <c r="I45" s="711">
        <f>transport!H18</f>
        <v>4842.7825968923689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34401.499106867537</v>
      </c>
    </row>
    <row r="46" spans="1:18" ht="15.75" thickBot="1">
      <c r="A46" s="874" t="s">
        <v>231</v>
      </c>
      <c r="B46" s="887"/>
      <c r="C46" s="747">
        <f t="shared" ref="C46:R46" ca="1" si="5">SUM(C43:C45)</f>
        <v>0.23114809490955973</v>
      </c>
      <c r="D46" s="747">
        <f t="shared" ca="1" si="5"/>
        <v>0</v>
      </c>
      <c r="E46" s="747">
        <f t="shared" si="5"/>
        <v>1.1709195271863519</v>
      </c>
      <c r="F46" s="747">
        <f t="shared" si="5"/>
        <v>141.27140188809108</v>
      </c>
      <c r="G46" s="747">
        <f t="shared" si="5"/>
        <v>0</v>
      </c>
      <c r="H46" s="747">
        <f t="shared" si="5"/>
        <v>29991.151191395336</v>
      </c>
      <c r="I46" s="747">
        <f t="shared" si="5"/>
        <v>4842.7825968923689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34976.607257797892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100.93423649969277</v>
      </c>
      <c r="D48" s="702">
        <f ca="1">+landbouw!C12</f>
        <v>0</v>
      </c>
      <c r="E48" s="702">
        <f>+landbouw!D12</f>
        <v>4.3798197520000004</v>
      </c>
      <c r="F48" s="702">
        <f>+landbouw!E12</f>
        <v>1.1045128730693752</v>
      </c>
      <c r="G48" s="702">
        <f>+landbouw!F12</f>
        <v>637.1710759646536</v>
      </c>
      <c r="H48" s="702">
        <f>+landbouw!G12</f>
        <v>0</v>
      </c>
      <c r="I48" s="702">
        <f>+landbouw!H12</f>
        <v>0</v>
      </c>
      <c r="J48" s="702">
        <f>+landbouw!I12</f>
        <v>0</v>
      </c>
      <c r="K48" s="702">
        <f>+landbouw!J12</f>
        <v>14.689419121233517</v>
      </c>
      <c r="L48" s="702">
        <f>+landbouw!K12</f>
        <v>0</v>
      </c>
      <c r="M48" s="702">
        <f>+landbouw!L12</f>
        <v>0</v>
      </c>
      <c r="N48" s="702">
        <f>+landbouw!M12</f>
        <v>0</v>
      </c>
      <c r="O48" s="702">
        <f>+landbouw!N12</f>
        <v>0</v>
      </c>
      <c r="P48" s="702">
        <f>+landbouw!O12</f>
        <v>0</v>
      </c>
      <c r="Q48" s="703">
        <f>+landbouw!P12</f>
        <v>0</v>
      </c>
      <c r="R48" s="745">
        <f ca="1">SUM(C48:Q48)</f>
        <v>758.27906421064927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43742.077006072483</v>
      </c>
      <c r="D53" s="757">
        <f t="shared" ref="D53:Q53" ca="1" si="6">D41+D46+D48</f>
        <v>8.0969747899159685</v>
      </c>
      <c r="E53" s="757">
        <f t="shared" ca="1" si="6"/>
        <v>17696.913152340334</v>
      </c>
      <c r="F53" s="757">
        <f t="shared" si="6"/>
        <v>2068.2840623739366</v>
      </c>
      <c r="G53" s="757">
        <f t="shared" ca="1" si="6"/>
        <v>22096.685471864359</v>
      </c>
      <c r="H53" s="757">
        <f t="shared" si="6"/>
        <v>29991.151191395336</v>
      </c>
      <c r="I53" s="757">
        <f t="shared" si="6"/>
        <v>4842.7825968923689</v>
      </c>
      <c r="J53" s="757">
        <f t="shared" si="6"/>
        <v>0</v>
      </c>
      <c r="K53" s="757">
        <f t="shared" si="6"/>
        <v>441.90091231430165</v>
      </c>
      <c r="L53" s="757">
        <f t="shared" si="6"/>
        <v>0</v>
      </c>
      <c r="M53" s="757">
        <f t="shared" ca="1" si="6"/>
        <v>0</v>
      </c>
      <c r="N53" s="757">
        <f t="shared" si="6"/>
        <v>0</v>
      </c>
      <c r="O53" s="757">
        <f t="shared" ca="1" si="6"/>
        <v>0</v>
      </c>
      <c r="P53" s="757">
        <f>P41+P46+P48</f>
        <v>0</v>
      </c>
      <c r="Q53" s="758">
        <f t="shared" si="6"/>
        <v>0</v>
      </c>
      <c r="R53" s="759">
        <f ca="1">R41+R46+R48</f>
        <v>120887.89136804304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0.21723619597505273</v>
      </c>
      <c r="D55" s="823">
        <f t="shared" ca="1" si="7"/>
        <v>0.23764705882352943</v>
      </c>
      <c r="E55" s="823">
        <f t="shared" ca="1" si="7"/>
        <v>0.20200000000000001</v>
      </c>
      <c r="F55" s="823">
        <f t="shared" si="7"/>
        <v>0.22700000000000001</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3431.0685797474052</v>
      </c>
      <c r="C66" s="779">
        <f>'lokale energieproductie'!B6</f>
        <v>3431.0685797474052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23.85</v>
      </c>
      <c r="C67" s="778">
        <f>B67*IFERROR(SUM(J67:L67)/SUM(D67:M67),0)</f>
        <v>0</v>
      </c>
      <c r="D67" s="810">
        <f>'lokale energieproductie'!C7</f>
        <v>28.058823529411768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5.6678823529411773</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3454.9185797474051</v>
      </c>
      <c r="C69" s="787">
        <f>SUM(C64:C68)</f>
        <v>3431.0685797474052</v>
      </c>
      <c r="D69" s="788">
        <f t="shared" ref="D69:M69" si="8">SUM(D67:D68)</f>
        <v>28.058823529411768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5.6678823529411773</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34.071428571428577</v>
      </c>
      <c r="C78" s="801">
        <f>B78*IFERROR(SUM(I78:L78)/SUM(D78:M78),0)</f>
        <v>0</v>
      </c>
      <c r="D78" s="816">
        <f>'lokale energieproductie'!C16</f>
        <v>40.084033613445385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8.0969747899159685</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34.071428571428577</v>
      </c>
      <c r="C81" s="787">
        <f>SUM(C78:C80)</f>
        <v>0</v>
      </c>
      <c r="D81" s="787">
        <f t="shared" ref="D81:P81" si="9">SUM(D78:D80)</f>
        <v>40.084033613445385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8.0969747899159685</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34326.497266557315</v>
      </c>
      <c r="C4" s="461">
        <f>huishoudens!C8</f>
        <v>0</v>
      </c>
      <c r="D4" s="461">
        <f>huishoudens!D8</f>
        <v>46231.954978000002</v>
      </c>
      <c r="E4" s="461">
        <f>huishoudens!E8</f>
        <v>5243.4623092522816</v>
      </c>
      <c r="F4" s="461">
        <f>huishoudens!F8</f>
        <v>58247.979420994285</v>
      </c>
      <c r="G4" s="461">
        <f>huishoudens!G8</f>
        <v>0</v>
      </c>
      <c r="H4" s="461">
        <f>huishoudens!H8</f>
        <v>0</v>
      </c>
      <c r="I4" s="461">
        <f>huishoudens!I8</f>
        <v>0</v>
      </c>
      <c r="J4" s="461">
        <f>huishoudens!J8</f>
        <v>0</v>
      </c>
      <c r="K4" s="461">
        <f>huishoudens!K8</f>
        <v>0</v>
      </c>
      <c r="L4" s="461">
        <f>huishoudens!L8</f>
        <v>0</v>
      </c>
      <c r="M4" s="461">
        <f>huishoudens!M8</f>
        <v>0</v>
      </c>
      <c r="N4" s="461">
        <f>huishoudens!N8</f>
        <v>16050.620294931623</v>
      </c>
      <c r="O4" s="461">
        <f>huishoudens!O8</f>
        <v>140.70000000000002</v>
      </c>
      <c r="P4" s="462">
        <f>huishoudens!P8</f>
        <v>495.73333333333335</v>
      </c>
      <c r="Q4" s="463">
        <f>SUM(B4:P4)</f>
        <v>160736.94760306887</v>
      </c>
    </row>
    <row r="5" spans="1:17">
      <c r="A5" s="460" t="s">
        <v>156</v>
      </c>
      <c r="B5" s="461">
        <f ca="1">tertiair!B16</f>
        <v>21970.866999999998</v>
      </c>
      <c r="C5" s="461">
        <f ca="1">tertiair!C16</f>
        <v>34.071428571428577</v>
      </c>
      <c r="D5" s="461">
        <f ca="1">tertiair!D16</f>
        <v>16131.761808857143</v>
      </c>
      <c r="E5" s="461">
        <f>tertiair!E16</f>
        <v>396.14994107881046</v>
      </c>
      <c r="F5" s="461">
        <f ca="1">tertiair!F16</f>
        <v>4082.0948512844593</v>
      </c>
      <c r="G5" s="461">
        <f>tertiair!G16</f>
        <v>0</v>
      </c>
      <c r="H5" s="461">
        <f>tertiair!H16</f>
        <v>0</v>
      </c>
      <c r="I5" s="461">
        <f>tertiair!I16</f>
        <v>0</v>
      </c>
      <c r="J5" s="461">
        <f>tertiair!J16</f>
        <v>0</v>
      </c>
      <c r="K5" s="461">
        <f>tertiair!K16</f>
        <v>0</v>
      </c>
      <c r="L5" s="461">
        <f ca="1">tertiair!L16</f>
        <v>0</v>
      </c>
      <c r="M5" s="461">
        <f>tertiair!M16</f>
        <v>0</v>
      </c>
      <c r="N5" s="461">
        <f ca="1">tertiair!N16</f>
        <v>863.60681032526395</v>
      </c>
      <c r="O5" s="461">
        <f>tertiair!O16</f>
        <v>0</v>
      </c>
      <c r="P5" s="462">
        <f>tertiair!P16</f>
        <v>0</v>
      </c>
      <c r="Q5" s="460">
        <f t="shared" ref="Q5:Q13" ca="1" si="0">SUM(B5:P5)</f>
        <v>43478.551840117099</v>
      </c>
    </row>
    <row r="6" spans="1:17">
      <c r="A6" s="460" t="s">
        <v>195</v>
      </c>
      <c r="B6" s="461">
        <f>'openbare verlichting'!B8</f>
        <v>1570.797</v>
      </c>
      <c r="C6" s="461"/>
      <c r="D6" s="461"/>
      <c r="E6" s="461"/>
      <c r="F6" s="461"/>
      <c r="G6" s="461"/>
      <c r="H6" s="461"/>
      <c r="I6" s="461"/>
      <c r="J6" s="461"/>
      <c r="K6" s="461"/>
      <c r="L6" s="461"/>
      <c r="M6" s="461"/>
      <c r="N6" s="461"/>
      <c r="O6" s="461"/>
      <c r="P6" s="462"/>
      <c r="Q6" s="460">
        <f t="shared" si="0"/>
        <v>1570.797</v>
      </c>
    </row>
    <row r="7" spans="1:17">
      <c r="A7" s="460" t="s">
        <v>112</v>
      </c>
      <c r="B7" s="461">
        <f>landbouw!B8</f>
        <v>464.62900000000002</v>
      </c>
      <c r="C7" s="461">
        <f>landbouw!C8</f>
        <v>0</v>
      </c>
      <c r="D7" s="461">
        <f>landbouw!D8</f>
        <v>21.682276000000002</v>
      </c>
      <c r="E7" s="461">
        <f>landbouw!E8</f>
        <v>4.8656954760765423</v>
      </c>
      <c r="F7" s="461">
        <f>landbouw!F8</f>
        <v>2386.4085242121855</v>
      </c>
      <c r="G7" s="461">
        <f>landbouw!G8</f>
        <v>0</v>
      </c>
      <c r="H7" s="461">
        <f>landbouw!H8</f>
        <v>0</v>
      </c>
      <c r="I7" s="461">
        <f>landbouw!I8</f>
        <v>0</v>
      </c>
      <c r="J7" s="461">
        <f>landbouw!J8</f>
        <v>41.495534240772649</v>
      </c>
      <c r="K7" s="461">
        <f>landbouw!K8</f>
        <v>0</v>
      </c>
      <c r="L7" s="461">
        <f>landbouw!L8</f>
        <v>0</v>
      </c>
      <c r="M7" s="461">
        <f>landbouw!M8</f>
        <v>0</v>
      </c>
      <c r="N7" s="461">
        <f>landbouw!N8</f>
        <v>0</v>
      </c>
      <c r="O7" s="461">
        <f>landbouw!O8</f>
        <v>0</v>
      </c>
      <c r="P7" s="462">
        <f>landbouw!P8</f>
        <v>0</v>
      </c>
      <c r="Q7" s="460">
        <f t="shared" si="0"/>
        <v>2919.0810299290347</v>
      </c>
    </row>
    <row r="8" spans="1:17">
      <c r="A8" s="460" t="s">
        <v>656</v>
      </c>
      <c r="B8" s="461">
        <f>industrie!B18</f>
        <v>143023.36799999999</v>
      </c>
      <c r="C8" s="461">
        <f>industrie!C18</f>
        <v>0</v>
      </c>
      <c r="D8" s="461">
        <f>industrie!D18</f>
        <v>25217.285258000004</v>
      </c>
      <c r="E8" s="461">
        <f>industrie!E18</f>
        <v>2844.5646113992002</v>
      </c>
      <c r="F8" s="461">
        <f>industrie!F18</f>
        <v>18042.63882097858</v>
      </c>
      <c r="G8" s="461">
        <f>industrie!G18</f>
        <v>0</v>
      </c>
      <c r="H8" s="461">
        <f>industrie!H18</f>
        <v>0</v>
      </c>
      <c r="I8" s="461">
        <f>industrie!I18</f>
        <v>0</v>
      </c>
      <c r="J8" s="461">
        <f>industrie!J18</f>
        <v>1206.8121276640343</v>
      </c>
      <c r="K8" s="461">
        <f>industrie!K18</f>
        <v>0</v>
      </c>
      <c r="L8" s="461">
        <f>industrie!L18</f>
        <v>0</v>
      </c>
      <c r="M8" s="461">
        <f>industrie!M18</f>
        <v>0</v>
      </c>
      <c r="N8" s="461">
        <f>industrie!N18</f>
        <v>504.1230795296882</v>
      </c>
      <c r="O8" s="461">
        <f>industrie!O18</f>
        <v>0</v>
      </c>
      <c r="P8" s="462">
        <f>industrie!P18</f>
        <v>0</v>
      </c>
      <c r="Q8" s="460">
        <f t="shared" si="0"/>
        <v>190838.7918975715</v>
      </c>
    </row>
    <row r="9" spans="1:17" s="466" customFormat="1">
      <c r="A9" s="464" t="s">
        <v>574</v>
      </c>
      <c r="B9" s="465">
        <f>transport!B14</f>
        <v>1.0640404278488869</v>
      </c>
      <c r="C9" s="465">
        <f>transport!C14</f>
        <v>0</v>
      </c>
      <c r="D9" s="465">
        <f>transport!D14</f>
        <v>5.7966313227047124</v>
      </c>
      <c r="E9" s="465">
        <f>transport!E14</f>
        <v>622.34097748057741</v>
      </c>
      <c r="F9" s="465">
        <f>transport!F14</f>
        <v>0</v>
      </c>
      <c r="G9" s="465">
        <f>transport!G14</f>
        <v>110172.44584443812</v>
      </c>
      <c r="H9" s="465">
        <f>transport!H14</f>
        <v>19448.926091937225</v>
      </c>
      <c r="I9" s="465">
        <f>transport!I14</f>
        <v>0</v>
      </c>
      <c r="J9" s="465">
        <f>transport!J14</f>
        <v>0</v>
      </c>
      <c r="K9" s="465">
        <f>transport!K14</f>
        <v>0</v>
      </c>
      <c r="L9" s="465">
        <f>transport!L14</f>
        <v>0</v>
      </c>
      <c r="M9" s="465">
        <f>transport!M14</f>
        <v>5657.3056646912446</v>
      </c>
      <c r="N9" s="465">
        <f>transport!N14</f>
        <v>0</v>
      </c>
      <c r="O9" s="465">
        <f>transport!O14</f>
        <v>0</v>
      </c>
      <c r="P9" s="465">
        <f>transport!P14</f>
        <v>0</v>
      </c>
      <c r="Q9" s="464">
        <f>SUM(B9:P9)</f>
        <v>135907.87925029773</v>
      </c>
    </row>
    <row r="10" spans="1:17">
      <c r="A10" s="460" t="s">
        <v>564</v>
      </c>
      <c r="B10" s="461">
        <f>transport!B54</f>
        <v>0</v>
      </c>
      <c r="C10" s="461">
        <f>transport!C54</f>
        <v>0</v>
      </c>
      <c r="D10" s="461">
        <f>transport!D54</f>
        <v>0</v>
      </c>
      <c r="E10" s="461">
        <f>transport!E54</f>
        <v>0</v>
      </c>
      <c r="F10" s="461">
        <f>transport!F54</f>
        <v>0</v>
      </c>
      <c r="G10" s="461">
        <f>transport!G54</f>
        <v>2153.9631120987201</v>
      </c>
      <c r="H10" s="461">
        <f>transport!H54</f>
        <v>0</v>
      </c>
      <c r="I10" s="461">
        <f>transport!I54</f>
        <v>0</v>
      </c>
      <c r="J10" s="461">
        <f>transport!J54</f>
        <v>0</v>
      </c>
      <c r="K10" s="461">
        <f>transport!K54</f>
        <v>0</v>
      </c>
      <c r="L10" s="461">
        <f>transport!L54</f>
        <v>0</v>
      </c>
      <c r="M10" s="461">
        <f>transport!M54</f>
        <v>91.814089626502195</v>
      </c>
      <c r="N10" s="461">
        <f>transport!N54</f>
        <v>0</v>
      </c>
      <c r="O10" s="461">
        <f>transport!O54</f>
        <v>0</v>
      </c>
      <c r="P10" s="462">
        <f>transport!P54</f>
        <v>0</v>
      </c>
      <c r="Q10" s="460">
        <f t="shared" si="0"/>
        <v>2245.7772017252223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201357.22230698515</v>
      </c>
      <c r="C14" s="471">
        <f t="shared" ref="C14:Q14" ca="1" si="1">SUM(C4:C13)</f>
        <v>34.071428571428577</v>
      </c>
      <c r="D14" s="471">
        <f t="shared" ca="1" si="1"/>
        <v>87608.480952179845</v>
      </c>
      <c r="E14" s="471">
        <f t="shared" si="1"/>
        <v>9111.3835346869455</v>
      </c>
      <c r="F14" s="471">
        <f t="shared" ca="1" si="1"/>
        <v>82759.121617469515</v>
      </c>
      <c r="G14" s="471">
        <f t="shared" si="1"/>
        <v>112326.40895653683</v>
      </c>
      <c r="H14" s="471">
        <f t="shared" si="1"/>
        <v>19448.926091937225</v>
      </c>
      <c r="I14" s="471">
        <f t="shared" si="1"/>
        <v>0</v>
      </c>
      <c r="J14" s="471">
        <f t="shared" si="1"/>
        <v>1248.307661904807</v>
      </c>
      <c r="K14" s="471">
        <f t="shared" si="1"/>
        <v>0</v>
      </c>
      <c r="L14" s="471">
        <f t="shared" ca="1" si="1"/>
        <v>0</v>
      </c>
      <c r="M14" s="471">
        <f t="shared" si="1"/>
        <v>5749.1197543177468</v>
      </c>
      <c r="N14" s="471">
        <f t="shared" ca="1" si="1"/>
        <v>17418.350184786574</v>
      </c>
      <c r="O14" s="471">
        <f t="shared" si="1"/>
        <v>140.70000000000002</v>
      </c>
      <c r="P14" s="472">
        <f t="shared" si="1"/>
        <v>495.73333333333335</v>
      </c>
      <c r="Q14" s="472">
        <f t="shared" ca="1" si="1"/>
        <v>537697.82582270936</v>
      </c>
    </row>
    <row r="16" spans="1:17">
      <c r="A16" s="474" t="s">
        <v>569</v>
      </c>
      <c r="B16" s="828">
        <f ca="1">huishoudens!B10</f>
        <v>0.21723619597505273</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7456.957687334957</v>
      </c>
      <c r="C21" s="461">
        <f t="shared" ref="C21:C30" ca="1" si="3">C4*$C$16</f>
        <v>0</v>
      </c>
      <c r="D21" s="461">
        <f t="shared" ref="D21:D30" si="4">D4*$D$16</f>
        <v>9338.8549055560015</v>
      </c>
      <c r="E21" s="461">
        <f t="shared" ref="E21:E30" si="5">E4*$E$16</f>
        <v>1190.265944200268</v>
      </c>
      <c r="F21" s="461">
        <f t="shared" ref="F21:F30" si="6">F4*$F$16</f>
        <v>15552.210505405475</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33538.289042496704</v>
      </c>
    </row>
    <row r="22" spans="1:17">
      <c r="A22" s="460" t="s">
        <v>156</v>
      </c>
      <c r="B22" s="461">
        <f t="shared" ca="1" si="2"/>
        <v>4772.867569353818</v>
      </c>
      <c r="C22" s="461">
        <f t="shared" ca="1" si="3"/>
        <v>8.0969747899159685</v>
      </c>
      <c r="D22" s="461">
        <f t="shared" ca="1" si="4"/>
        <v>3258.6158853891434</v>
      </c>
      <c r="E22" s="461">
        <f t="shared" si="5"/>
        <v>89.926036624889974</v>
      </c>
      <c r="F22" s="461">
        <f t="shared" ca="1" si="6"/>
        <v>1089.9193252929506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9219.425791450718</v>
      </c>
    </row>
    <row r="23" spans="1:17">
      <c r="A23" s="460" t="s">
        <v>195</v>
      </c>
      <c r="B23" s="461">
        <f t="shared" ca="1" si="2"/>
        <v>341.23396492902492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341.23396492902492</v>
      </c>
    </row>
    <row r="24" spans="1:17">
      <c r="A24" s="460" t="s">
        <v>112</v>
      </c>
      <c r="B24" s="461">
        <f t="shared" ca="1" si="2"/>
        <v>100.93423649969277</v>
      </c>
      <c r="C24" s="461">
        <f t="shared" ca="1" si="3"/>
        <v>0</v>
      </c>
      <c r="D24" s="461">
        <f t="shared" si="4"/>
        <v>4.3798197520000004</v>
      </c>
      <c r="E24" s="461">
        <f t="shared" si="5"/>
        <v>1.1045128730693752</v>
      </c>
      <c r="F24" s="461">
        <f t="shared" si="6"/>
        <v>637.1710759646536</v>
      </c>
      <c r="G24" s="461">
        <f t="shared" si="7"/>
        <v>0</v>
      </c>
      <c r="H24" s="461">
        <f t="shared" si="8"/>
        <v>0</v>
      </c>
      <c r="I24" s="461">
        <f t="shared" si="9"/>
        <v>0</v>
      </c>
      <c r="J24" s="461">
        <f t="shared" si="10"/>
        <v>14.689419121233517</v>
      </c>
      <c r="K24" s="461">
        <f t="shared" si="11"/>
        <v>0</v>
      </c>
      <c r="L24" s="461">
        <f t="shared" si="12"/>
        <v>0</v>
      </c>
      <c r="M24" s="461">
        <f t="shared" si="13"/>
        <v>0</v>
      </c>
      <c r="N24" s="461">
        <f t="shared" si="14"/>
        <v>0</v>
      </c>
      <c r="O24" s="461">
        <f t="shared" si="15"/>
        <v>0</v>
      </c>
      <c r="P24" s="462">
        <f t="shared" si="16"/>
        <v>0</v>
      </c>
      <c r="Q24" s="460">
        <f t="shared" ca="1" si="17"/>
        <v>758.27906421064927</v>
      </c>
    </row>
    <row r="25" spans="1:17">
      <c r="A25" s="460" t="s">
        <v>656</v>
      </c>
      <c r="B25" s="461">
        <f t="shared" ca="1" si="2"/>
        <v>31069.852399860083</v>
      </c>
      <c r="C25" s="461">
        <f t="shared" ca="1" si="3"/>
        <v>0</v>
      </c>
      <c r="D25" s="461">
        <f t="shared" si="4"/>
        <v>5093.8916221160007</v>
      </c>
      <c r="E25" s="461">
        <f t="shared" si="5"/>
        <v>645.71616678761848</v>
      </c>
      <c r="F25" s="461">
        <f t="shared" si="6"/>
        <v>4817.3845652012815</v>
      </c>
      <c r="G25" s="461">
        <f t="shared" si="7"/>
        <v>0</v>
      </c>
      <c r="H25" s="461">
        <f t="shared" si="8"/>
        <v>0</v>
      </c>
      <c r="I25" s="461">
        <f t="shared" si="9"/>
        <v>0</v>
      </c>
      <c r="J25" s="461">
        <f t="shared" si="10"/>
        <v>427.21149319306812</v>
      </c>
      <c r="K25" s="461">
        <f t="shared" si="11"/>
        <v>0</v>
      </c>
      <c r="L25" s="461">
        <f t="shared" si="12"/>
        <v>0</v>
      </c>
      <c r="M25" s="461">
        <f t="shared" si="13"/>
        <v>0</v>
      </c>
      <c r="N25" s="461">
        <f t="shared" si="14"/>
        <v>0</v>
      </c>
      <c r="O25" s="461">
        <f t="shared" si="15"/>
        <v>0</v>
      </c>
      <c r="P25" s="462">
        <f t="shared" si="16"/>
        <v>0</v>
      </c>
      <c r="Q25" s="460">
        <f t="shared" ca="1" si="17"/>
        <v>42054.056247158056</v>
      </c>
    </row>
    <row r="26" spans="1:17" s="466" customFormat="1">
      <c r="A26" s="464" t="s">
        <v>574</v>
      </c>
      <c r="B26" s="822">
        <f t="shared" ca="1" si="2"/>
        <v>0.23114809490955973</v>
      </c>
      <c r="C26" s="465">
        <f t="shared" ca="1" si="3"/>
        <v>0</v>
      </c>
      <c r="D26" s="465">
        <f t="shared" si="4"/>
        <v>1.1709195271863519</v>
      </c>
      <c r="E26" s="465">
        <f t="shared" si="5"/>
        <v>141.27140188809108</v>
      </c>
      <c r="F26" s="465">
        <f t="shared" si="6"/>
        <v>0</v>
      </c>
      <c r="G26" s="465">
        <f t="shared" si="7"/>
        <v>29416.043040464978</v>
      </c>
      <c r="H26" s="465">
        <f t="shared" si="8"/>
        <v>4842.7825968923689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34401.499106867537</v>
      </c>
    </row>
    <row r="27" spans="1:17">
      <c r="A27" s="460" t="s">
        <v>564</v>
      </c>
      <c r="B27" s="461">
        <f t="shared" ca="1" si="2"/>
        <v>0</v>
      </c>
      <c r="C27" s="461">
        <f t="shared" ca="1" si="3"/>
        <v>0</v>
      </c>
      <c r="D27" s="461">
        <f t="shared" si="4"/>
        <v>0</v>
      </c>
      <c r="E27" s="461">
        <f t="shared" si="5"/>
        <v>0</v>
      </c>
      <c r="F27" s="461">
        <f t="shared" si="6"/>
        <v>0</v>
      </c>
      <c r="G27" s="461">
        <f t="shared" si="7"/>
        <v>575.10815093035831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575.10815093035831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43742.077006072483</v>
      </c>
      <c r="C31" s="471">
        <f t="shared" ca="1" si="18"/>
        <v>8.0969747899159685</v>
      </c>
      <c r="D31" s="471">
        <f t="shared" ca="1" si="18"/>
        <v>17696.91315234033</v>
      </c>
      <c r="E31" s="471">
        <f t="shared" si="18"/>
        <v>2068.2840623739366</v>
      </c>
      <c r="F31" s="471">
        <f t="shared" ca="1" si="18"/>
        <v>22096.685471864359</v>
      </c>
      <c r="G31" s="471">
        <f t="shared" si="18"/>
        <v>29991.151191395336</v>
      </c>
      <c r="H31" s="471">
        <f t="shared" si="18"/>
        <v>4842.7825968923689</v>
      </c>
      <c r="I31" s="471">
        <f t="shared" si="18"/>
        <v>0</v>
      </c>
      <c r="J31" s="471">
        <f t="shared" si="18"/>
        <v>441.90091231430165</v>
      </c>
      <c r="K31" s="471">
        <f t="shared" si="18"/>
        <v>0</v>
      </c>
      <c r="L31" s="471">
        <f t="shared" ca="1" si="18"/>
        <v>0</v>
      </c>
      <c r="M31" s="471">
        <f t="shared" si="18"/>
        <v>0</v>
      </c>
      <c r="N31" s="471">
        <f t="shared" ca="1" si="18"/>
        <v>0</v>
      </c>
      <c r="O31" s="471">
        <f t="shared" si="18"/>
        <v>0</v>
      </c>
      <c r="P31" s="472">
        <f t="shared" si="18"/>
        <v>0</v>
      </c>
      <c r="Q31" s="472">
        <f t="shared" ca="1" si="18"/>
        <v>120887.89136804304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0.21723619597505273</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0.21723619597505273</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0.21723619597505273</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71057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7352</v>
      </c>
      <c r="C9" s="336">
        <v>8242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1509</v>
      </c>
    </row>
    <row r="15" spans="1:6">
      <c r="A15" s="1194" t="s">
        <v>185</v>
      </c>
      <c r="B15" s="333">
        <v>13</v>
      </c>
    </row>
    <row r="16" spans="1:6">
      <c r="A16" s="1194" t="s">
        <v>6</v>
      </c>
      <c r="B16" s="333">
        <v>602</v>
      </c>
    </row>
    <row r="17" spans="1:6">
      <c r="A17" s="1194" t="s">
        <v>7</v>
      </c>
      <c r="B17" s="333">
        <v>216</v>
      </c>
    </row>
    <row r="18" spans="1:6">
      <c r="A18" s="1194" t="s">
        <v>8</v>
      </c>
      <c r="B18" s="333">
        <v>467</v>
      </c>
    </row>
    <row r="19" spans="1:6">
      <c r="A19" s="1194" t="s">
        <v>9</v>
      </c>
      <c r="B19" s="333">
        <v>549</v>
      </c>
    </row>
    <row r="20" spans="1:6">
      <c r="A20" s="1194" t="s">
        <v>10</v>
      </c>
      <c r="B20" s="333">
        <v>358</v>
      </c>
    </row>
    <row r="21" spans="1:6">
      <c r="A21" s="1194" t="s">
        <v>11</v>
      </c>
      <c r="B21" s="333">
        <v>499</v>
      </c>
    </row>
    <row r="22" spans="1:6">
      <c r="A22" s="1194" t="s">
        <v>12</v>
      </c>
      <c r="B22" s="333">
        <v>1417</v>
      </c>
    </row>
    <row r="23" spans="1:6">
      <c r="A23" s="1194" t="s">
        <v>13</v>
      </c>
      <c r="B23" s="333">
        <v>0</v>
      </c>
    </row>
    <row r="24" spans="1:6">
      <c r="A24" s="1194" t="s">
        <v>14</v>
      </c>
      <c r="B24" s="333">
        <v>0</v>
      </c>
    </row>
    <row r="25" spans="1:6">
      <c r="A25" s="1194" t="s">
        <v>15</v>
      </c>
      <c r="B25" s="333">
        <v>0</v>
      </c>
    </row>
    <row r="26" spans="1:6">
      <c r="A26" s="1194" t="s">
        <v>16</v>
      </c>
      <c r="B26" s="333">
        <v>340</v>
      </c>
    </row>
    <row r="27" spans="1:6">
      <c r="A27" s="1194" t="s">
        <v>17</v>
      </c>
      <c r="B27" s="333">
        <v>240</v>
      </c>
    </row>
    <row r="28" spans="1:6">
      <c r="A28" s="1194" t="s">
        <v>18</v>
      </c>
      <c r="B28" s="333">
        <v>17194</v>
      </c>
    </row>
    <row r="29" spans="1:6">
      <c r="A29" s="1194" t="s">
        <v>888</v>
      </c>
      <c r="B29" s="333">
        <v>73</v>
      </c>
    </row>
    <row r="30" spans="1:6">
      <c r="A30" s="1190" t="s">
        <v>889</v>
      </c>
      <c r="B30" s="1190">
        <v>13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313687</v>
      </c>
    </row>
    <row r="39" spans="1:6">
      <c r="A39" s="1194" t="s">
        <v>30</v>
      </c>
      <c r="B39" s="1194" t="s">
        <v>31</v>
      </c>
      <c r="C39" s="333">
        <v>3194</v>
      </c>
      <c r="D39" s="333">
        <v>51254939</v>
      </c>
      <c r="E39" s="333">
        <v>7758</v>
      </c>
      <c r="F39" s="333">
        <v>31941345</v>
      </c>
    </row>
    <row r="40" spans="1:6">
      <c r="A40" s="1194" t="s">
        <v>30</v>
      </c>
      <c r="B40" s="1194" t="s">
        <v>29</v>
      </c>
      <c r="C40" s="333">
        <v>0</v>
      </c>
      <c r="D40" s="333">
        <v>0</v>
      </c>
      <c r="E40" s="333">
        <v>0</v>
      </c>
      <c r="F40" s="333">
        <v>0</v>
      </c>
    </row>
    <row r="41" spans="1:6">
      <c r="A41" s="1194" t="s">
        <v>32</v>
      </c>
      <c r="B41" s="1194" t="s">
        <v>33</v>
      </c>
      <c r="C41" s="333">
        <v>29</v>
      </c>
      <c r="D41" s="333">
        <v>6115136</v>
      </c>
      <c r="E41" s="333">
        <v>91</v>
      </c>
      <c r="F41" s="333">
        <v>4642596</v>
      </c>
    </row>
    <row r="42" spans="1:6">
      <c r="A42" s="1194" t="s">
        <v>32</v>
      </c>
      <c r="B42" s="1194" t="s">
        <v>34</v>
      </c>
      <c r="C42" s="333">
        <v>0</v>
      </c>
      <c r="D42" s="333">
        <v>0</v>
      </c>
      <c r="E42" s="333">
        <v>3</v>
      </c>
      <c r="F42" s="333">
        <v>5096862</v>
      </c>
    </row>
    <row r="43" spans="1:6">
      <c r="A43" s="1194" t="s">
        <v>32</v>
      </c>
      <c r="B43" s="1194" t="s">
        <v>35</v>
      </c>
      <c r="C43" s="333">
        <v>0</v>
      </c>
      <c r="D43" s="333">
        <v>0</v>
      </c>
      <c r="E43" s="333">
        <v>0</v>
      </c>
      <c r="F43" s="333">
        <v>0</v>
      </c>
    </row>
    <row r="44" spans="1:6">
      <c r="A44" s="1194" t="s">
        <v>32</v>
      </c>
      <c r="B44" s="1194" t="s">
        <v>36</v>
      </c>
      <c r="C44" s="333">
        <v>5</v>
      </c>
      <c r="D44" s="333">
        <v>976784</v>
      </c>
      <c r="E44" s="333">
        <v>29</v>
      </c>
      <c r="F44" s="333">
        <v>30124294</v>
      </c>
    </row>
    <row r="45" spans="1:6">
      <c r="A45" s="1194" t="s">
        <v>32</v>
      </c>
      <c r="B45" s="1194" t="s">
        <v>37</v>
      </c>
      <c r="C45" s="333">
        <v>0</v>
      </c>
      <c r="D45" s="333">
        <v>0</v>
      </c>
      <c r="E45" s="333">
        <v>9</v>
      </c>
      <c r="F45" s="333">
        <v>101569068</v>
      </c>
    </row>
    <row r="46" spans="1:6">
      <c r="A46" s="1194" t="s">
        <v>32</v>
      </c>
      <c r="B46" s="1194" t="s">
        <v>38</v>
      </c>
      <c r="C46" s="333">
        <v>0</v>
      </c>
      <c r="D46" s="333">
        <v>0</v>
      </c>
      <c r="E46" s="333">
        <v>0</v>
      </c>
      <c r="F46" s="333">
        <v>0</v>
      </c>
    </row>
    <row r="47" spans="1:6">
      <c r="A47" s="1194" t="s">
        <v>32</v>
      </c>
      <c r="B47" s="1194" t="s">
        <v>39</v>
      </c>
      <c r="C47" s="333">
        <v>5</v>
      </c>
      <c r="D47" s="333">
        <v>339984</v>
      </c>
      <c r="E47" s="333">
        <v>5</v>
      </c>
      <c r="F47" s="333">
        <v>182612</v>
      </c>
    </row>
    <row r="48" spans="1:6">
      <c r="A48" s="1194" t="s">
        <v>32</v>
      </c>
      <c r="B48" s="1194" t="s">
        <v>29</v>
      </c>
      <c r="C48" s="333">
        <v>4</v>
      </c>
      <c r="D48" s="333">
        <v>20101861</v>
      </c>
      <c r="E48" s="333">
        <v>4</v>
      </c>
      <c r="F48" s="333">
        <v>800699</v>
      </c>
    </row>
    <row r="49" spans="1:6">
      <c r="A49" s="1194" t="s">
        <v>32</v>
      </c>
      <c r="B49" s="1194" t="s">
        <v>40</v>
      </c>
      <c r="C49" s="333">
        <v>0</v>
      </c>
      <c r="D49" s="333">
        <v>0</v>
      </c>
      <c r="E49" s="333">
        <v>0</v>
      </c>
      <c r="F49" s="333">
        <v>0</v>
      </c>
    </row>
    <row r="50" spans="1:6">
      <c r="A50" s="1194" t="s">
        <v>32</v>
      </c>
      <c r="B50" s="1194" t="s">
        <v>41</v>
      </c>
      <c r="C50" s="333">
        <v>4</v>
      </c>
      <c r="D50" s="333">
        <v>423314</v>
      </c>
      <c r="E50" s="333">
        <v>12</v>
      </c>
      <c r="F50" s="333">
        <v>607237</v>
      </c>
    </row>
    <row r="51" spans="1:6">
      <c r="A51" s="1194" t="s">
        <v>42</v>
      </c>
      <c r="B51" s="1194" t="s">
        <v>43</v>
      </c>
      <c r="C51" s="333">
        <v>0</v>
      </c>
      <c r="D51" s="333">
        <v>0</v>
      </c>
      <c r="E51" s="333">
        <v>25</v>
      </c>
      <c r="F51" s="333">
        <v>464629</v>
      </c>
    </row>
    <row r="52" spans="1:6">
      <c r="A52" s="1194" t="s">
        <v>42</v>
      </c>
      <c r="B52" s="1194" t="s">
        <v>29</v>
      </c>
      <c r="C52" s="333">
        <v>1</v>
      </c>
      <c r="D52" s="333">
        <v>24038</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95</v>
      </c>
      <c r="F54" s="333">
        <v>1570797</v>
      </c>
    </row>
    <row r="55" spans="1:6">
      <c r="A55" s="1194" t="s">
        <v>46</v>
      </c>
      <c r="B55" s="1194" t="s">
        <v>29</v>
      </c>
      <c r="C55" s="333">
        <v>0</v>
      </c>
      <c r="D55" s="333">
        <v>0</v>
      </c>
      <c r="E55" s="333">
        <v>0</v>
      </c>
      <c r="F55" s="333">
        <v>0</v>
      </c>
    </row>
    <row r="56" spans="1:6">
      <c r="A56" s="1194" t="s">
        <v>48</v>
      </c>
      <c r="B56" s="1194" t="s">
        <v>29</v>
      </c>
      <c r="C56" s="333">
        <v>34</v>
      </c>
      <c r="D56" s="333">
        <v>2084571</v>
      </c>
      <c r="E56" s="333">
        <v>174</v>
      </c>
      <c r="F56" s="333">
        <v>1450459</v>
      </c>
    </row>
    <row r="57" spans="1:6">
      <c r="A57" s="1194" t="s">
        <v>49</v>
      </c>
      <c r="B57" s="1194" t="s">
        <v>50</v>
      </c>
      <c r="C57" s="333">
        <v>32</v>
      </c>
      <c r="D57" s="333">
        <v>1661010</v>
      </c>
      <c r="E57" s="333">
        <v>130</v>
      </c>
      <c r="F57" s="333">
        <v>3487811</v>
      </c>
    </row>
    <row r="58" spans="1:6">
      <c r="A58" s="1194" t="s">
        <v>49</v>
      </c>
      <c r="B58" s="1194" t="s">
        <v>51</v>
      </c>
      <c r="C58" s="333">
        <v>15</v>
      </c>
      <c r="D58" s="333">
        <v>2538852</v>
      </c>
      <c r="E58" s="333">
        <v>29</v>
      </c>
      <c r="F58" s="333">
        <v>1354515</v>
      </c>
    </row>
    <row r="59" spans="1:6">
      <c r="A59" s="1194" t="s">
        <v>49</v>
      </c>
      <c r="B59" s="1194" t="s">
        <v>52</v>
      </c>
      <c r="C59" s="333">
        <v>82</v>
      </c>
      <c r="D59" s="333">
        <v>4396035</v>
      </c>
      <c r="E59" s="333">
        <v>203</v>
      </c>
      <c r="F59" s="333">
        <v>8898013</v>
      </c>
    </row>
    <row r="60" spans="1:6">
      <c r="A60" s="1194" t="s">
        <v>49</v>
      </c>
      <c r="B60" s="1194" t="s">
        <v>53</v>
      </c>
      <c r="C60" s="333">
        <v>39</v>
      </c>
      <c r="D60" s="333">
        <v>2702636</v>
      </c>
      <c r="E60" s="333">
        <v>70</v>
      </c>
      <c r="F60" s="333">
        <v>2363900</v>
      </c>
    </row>
    <row r="61" spans="1:6">
      <c r="A61" s="1194" t="s">
        <v>49</v>
      </c>
      <c r="B61" s="1194" t="s">
        <v>54</v>
      </c>
      <c r="C61" s="333">
        <v>71</v>
      </c>
      <c r="D61" s="333">
        <v>5704493</v>
      </c>
      <c r="E61" s="333">
        <v>211</v>
      </c>
      <c r="F61" s="333">
        <v>5573214</v>
      </c>
    </row>
    <row r="62" spans="1:6">
      <c r="A62" s="1194" t="s">
        <v>49</v>
      </c>
      <c r="B62" s="1194" t="s">
        <v>55</v>
      </c>
      <c r="C62" s="333">
        <v>8</v>
      </c>
      <c r="D62" s="333">
        <v>956957</v>
      </c>
      <c r="E62" s="333">
        <v>9</v>
      </c>
      <c r="F62" s="333">
        <v>269564</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1</v>
      </c>
      <c r="D65" s="333">
        <v>54607</v>
      </c>
      <c r="E65" s="333">
        <v>2</v>
      </c>
      <c r="F65" s="333">
        <v>9006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6</v>
      </c>
      <c r="D68" s="333">
        <v>479964</v>
      </c>
      <c r="E68" s="333">
        <v>15</v>
      </c>
      <c r="F68" s="333">
        <v>4939677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45304905</v>
      </c>
      <c r="E73" s="333">
        <v>46755047.500090286</v>
      </c>
      <c r="F73" s="333">
        <v>45371489</v>
      </c>
    </row>
    <row r="74" spans="1:6">
      <c r="A74" s="1194" t="s">
        <v>64</v>
      </c>
      <c r="B74" s="1194" t="s">
        <v>775</v>
      </c>
      <c r="C74" s="1205" t="s">
        <v>776</v>
      </c>
      <c r="D74" s="333">
        <v>2833440.4904638138</v>
      </c>
      <c r="E74" s="333">
        <v>3071085.6483725384</v>
      </c>
      <c r="F74" s="333">
        <v>2939270.4809765629</v>
      </c>
    </row>
    <row r="75" spans="1:6">
      <c r="A75" s="1194" t="s">
        <v>65</v>
      </c>
      <c r="B75" s="1194" t="s">
        <v>773</v>
      </c>
      <c r="C75" s="1205" t="s">
        <v>777</v>
      </c>
      <c r="D75" s="333">
        <v>42183685</v>
      </c>
      <c r="E75" s="333">
        <v>43518696.475926667</v>
      </c>
      <c r="F75" s="333">
        <v>42240129</v>
      </c>
    </row>
    <row r="76" spans="1:6">
      <c r="A76" s="1194" t="s">
        <v>65</v>
      </c>
      <c r="B76" s="1194" t="s">
        <v>775</v>
      </c>
      <c r="C76" s="1205" t="s">
        <v>778</v>
      </c>
      <c r="D76" s="333">
        <v>1196047.4904638135</v>
      </c>
      <c r="E76" s="333">
        <v>1332123.7157804389</v>
      </c>
      <c r="F76" s="333">
        <v>1258543.4809765629</v>
      </c>
    </row>
    <row r="77" spans="1:6">
      <c r="A77" s="1194" t="s">
        <v>66</v>
      </c>
      <c r="B77" s="1194" t="s">
        <v>773</v>
      </c>
      <c r="C77" s="1205" t="s">
        <v>779</v>
      </c>
      <c r="D77" s="333">
        <v>45782534</v>
      </c>
      <c r="E77" s="333">
        <v>53924803.007016033</v>
      </c>
      <c r="F77" s="333">
        <v>47571600</v>
      </c>
    </row>
    <row r="78" spans="1:6">
      <c r="A78" s="1190" t="s">
        <v>66</v>
      </c>
      <c r="B78" s="1190" t="s">
        <v>775</v>
      </c>
      <c r="C78" s="1190" t="s">
        <v>780</v>
      </c>
      <c r="D78" s="1190">
        <v>10225857</v>
      </c>
      <c r="E78" s="1190">
        <v>11364520.66073514</v>
      </c>
      <c r="F78" s="336">
        <v>10482150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590559.01907237282</v>
      </c>
      <c r="C83" s="333">
        <v>539998.1056744972</v>
      </c>
      <c r="D83" s="333">
        <v>549363.03804687399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2385.152266557317</v>
      </c>
    </row>
    <row r="92" spans="1:6">
      <c r="A92" s="1190" t="s">
        <v>69</v>
      </c>
      <c r="B92" s="336">
        <v>1045.9163131900882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1159</v>
      </c>
    </row>
    <row r="98" spans="1:6">
      <c r="A98" s="1194" t="s">
        <v>72</v>
      </c>
      <c r="B98" s="333">
        <v>3</v>
      </c>
    </row>
    <row r="99" spans="1:6">
      <c r="A99" s="1194" t="s">
        <v>73</v>
      </c>
      <c r="B99" s="333">
        <v>69</v>
      </c>
    </row>
    <row r="100" spans="1:6">
      <c r="A100" s="1194" t="s">
        <v>74</v>
      </c>
      <c r="B100" s="333">
        <v>285</v>
      </c>
    </row>
    <row r="101" spans="1:6">
      <c r="A101" s="1194" t="s">
        <v>75</v>
      </c>
      <c r="B101" s="333">
        <v>73</v>
      </c>
    </row>
    <row r="102" spans="1:6">
      <c r="A102" s="1194" t="s">
        <v>76</v>
      </c>
      <c r="B102" s="333">
        <v>75</v>
      </c>
    </row>
    <row r="103" spans="1:6">
      <c r="A103" s="1194" t="s">
        <v>77</v>
      </c>
      <c r="B103" s="333">
        <v>140</v>
      </c>
    </row>
    <row r="104" spans="1:6">
      <c r="A104" s="1194" t="s">
        <v>78</v>
      </c>
      <c r="B104" s="333">
        <v>4386</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14</v>
      </c>
      <c r="C123" s="333">
        <v>30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60</v>
      </c>
    </row>
    <row r="130" spans="1:6">
      <c r="A130" s="1194" t="s">
        <v>296</v>
      </c>
      <c r="B130" s="333">
        <v>0</v>
      </c>
    </row>
    <row r="131" spans="1:6">
      <c r="A131" s="1194" t="s">
        <v>297</v>
      </c>
      <c r="B131" s="333">
        <v>0</v>
      </c>
    </row>
    <row r="132" spans="1:6">
      <c r="A132" s="1190" t="s">
        <v>298</v>
      </c>
      <c r="B132" s="336">
        <v>12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201357.22230698515</v>
      </c>
      <c r="C3" s="43" t="s">
        <v>171</v>
      </c>
      <c r="D3" s="43"/>
      <c r="E3" s="156"/>
      <c r="F3" s="43"/>
      <c r="G3" s="43"/>
      <c r="H3" s="43"/>
      <c r="I3" s="43"/>
      <c r="J3" s="43"/>
      <c r="K3" s="96"/>
    </row>
    <row r="4" spans="1:11">
      <c r="A4" s="364" t="s">
        <v>172</v>
      </c>
      <c r="B4" s="49">
        <f>IF(ISERROR('SEAP template'!B69),0,'SEAP template'!B69)</f>
        <v>3454.9185797474051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5.6678823529411773</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0.21723619597505273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8.0969747899159685</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34.071428571428577</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1570.797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1570.797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0.21723619597505273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341.23396492902492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31941.345000000001</v>
      </c>
      <c r="C5" s="17">
        <f>IF(ISERROR('Eigen informatie GS &amp; warmtenet'!B57),0,'Eigen informatie GS &amp; warmtenet'!B57)</f>
        <v>0</v>
      </c>
      <c r="D5" s="30">
        <f>(SUM(HH_hh_gas_kWh,HH_rest_gas_kWh)/1000)*0.902</f>
        <v>46231.954978000002</v>
      </c>
      <c r="E5" s="17">
        <f>B46*B57</f>
        <v>5243.4623092522816</v>
      </c>
      <c r="F5" s="17">
        <f>B51*B62</f>
        <v>58247.979420994285</v>
      </c>
      <c r="G5" s="18"/>
      <c r="H5" s="17"/>
      <c r="I5" s="17"/>
      <c r="J5" s="17">
        <f>B50*B61+C50*C61</f>
        <v>0</v>
      </c>
      <c r="K5" s="17"/>
      <c r="L5" s="17"/>
      <c r="M5" s="17"/>
      <c r="N5" s="17">
        <f>B48*B59+C48*C59</f>
        <v>16050.620294931623</v>
      </c>
      <c r="O5" s="17">
        <f>B69*B70*B71</f>
        <v>140.70000000000002</v>
      </c>
      <c r="P5" s="17">
        <f>B77*B78*B79/1000-B77*B78*B79/1000/B80</f>
        <v>495.73333333333335</v>
      </c>
    </row>
    <row r="6" spans="1:16">
      <c r="A6" s="16" t="s">
        <v>633</v>
      </c>
      <c r="B6" s="830">
        <f>kWh_PV_kleiner_dan_10kW</f>
        <v>2385.152266557317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34326.497266557315</v>
      </c>
      <c r="C8" s="21">
        <f>C5</f>
        <v>0</v>
      </c>
      <c r="D8" s="21">
        <f>D5</f>
        <v>46231.954978000002</v>
      </c>
      <c r="E8" s="21">
        <f>E5</f>
        <v>5243.4623092522816</v>
      </c>
      <c r="F8" s="21">
        <f>F5</f>
        <v>58247.979420994285</v>
      </c>
      <c r="G8" s="21"/>
      <c r="H8" s="21"/>
      <c r="I8" s="21"/>
      <c r="J8" s="21">
        <f>J5</f>
        <v>0</v>
      </c>
      <c r="K8" s="21"/>
      <c r="L8" s="21">
        <f>L5</f>
        <v>0</v>
      </c>
      <c r="M8" s="21">
        <f>M5</f>
        <v>0</v>
      </c>
      <c r="N8" s="21">
        <f>N5</f>
        <v>16050.620294931623</v>
      </c>
      <c r="O8" s="21">
        <f>O5</f>
        <v>140.70000000000002</v>
      </c>
      <c r="P8" s="21">
        <f>P5</f>
        <v>495.73333333333335</v>
      </c>
    </row>
    <row r="9" spans="1:16">
      <c r="B9" s="19"/>
      <c r="C9" s="19"/>
      <c r="D9" s="260"/>
      <c r="E9" s="19"/>
      <c r="F9" s="19"/>
      <c r="G9" s="19"/>
      <c r="H9" s="19"/>
      <c r="I9" s="19"/>
      <c r="J9" s="19"/>
      <c r="K9" s="19"/>
      <c r="L9" s="19"/>
      <c r="M9" s="19"/>
      <c r="N9" s="19"/>
      <c r="O9" s="19"/>
      <c r="P9" s="19"/>
    </row>
    <row r="10" spans="1:16">
      <c r="A10" s="24" t="s">
        <v>215</v>
      </c>
      <c r="B10" s="25">
        <f ca="1">'EF ele_warmte'!B12</f>
        <v>0.21723619597505273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7456.957687334957</v>
      </c>
      <c r="C12" s="23">
        <f ca="1">C10*C8</f>
        <v>0</v>
      </c>
      <c r="D12" s="23">
        <f>D8*D10</f>
        <v>9338.8549055560015</v>
      </c>
      <c r="E12" s="23">
        <f>E10*E8</f>
        <v>1190.265944200268</v>
      </c>
      <c r="F12" s="23">
        <f>F10*F8</f>
        <v>15552.210505405475</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1159</v>
      </c>
      <c r="C18" s="167" t="s">
        <v>111</v>
      </c>
      <c r="D18" s="229"/>
      <c r="E18" s="15"/>
    </row>
    <row r="19" spans="1:7">
      <c r="A19" s="172" t="s">
        <v>72</v>
      </c>
      <c r="B19" s="37">
        <f>aantalw2001_ander</f>
        <v>3</v>
      </c>
      <c r="C19" s="167" t="s">
        <v>111</v>
      </c>
      <c r="D19" s="230"/>
      <c r="E19" s="15"/>
    </row>
    <row r="20" spans="1:7">
      <c r="A20" s="172" t="s">
        <v>73</v>
      </c>
      <c r="B20" s="37">
        <f>aantalw2001_propaan</f>
        <v>69</v>
      </c>
      <c r="C20" s="168">
        <f>IF(ISERROR(B20/SUM($B$20,$B$21,$B$22)*100),0,B20/SUM($B$20,$B$21,$B$22)*100)</f>
        <v>16.159250585480095</v>
      </c>
      <c r="D20" s="230"/>
      <c r="E20" s="15"/>
    </row>
    <row r="21" spans="1:7">
      <c r="A21" s="172" t="s">
        <v>74</v>
      </c>
      <c r="B21" s="37">
        <f>aantalw2001_elektriciteit</f>
        <v>285</v>
      </c>
      <c r="C21" s="168">
        <f>IF(ISERROR(B21/SUM($B$20,$B$21,$B$22)*100),0,B21/SUM($B$20,$B$21,$B$22)*100)</f>
        <v>66.744730679156902</v>
      </c>
      <c r="D21" s="230"/>
      <c r="E21" s="15"/>
    </row>
    <row r="22" spans="1:7">
      <c r="A22" s="172" t="s">
        <v>75</v>
      </c>
      <c r="B22" s="37">
        <f>aantalw2001_hout</f>
        <v>73</v>
      </c>
      <c r="C22" s="168">
        <f>IF(ISERROR(B22/SUM($B$20,$B$21,$B$22)*100),0,B22/SUM($B$20,$B$21,$B$22)*100)</f>
        <v>17.096018735362996</v>
      </c>
      <c r="D22" s="230"/>
      <c r="E22" s="15"/>
    </row>
    <row r="23" spans="1:7">
      <c r="A23" s="172" t="s">
        <v>76</v>
      </c>
      <c r="B23" s="37">
        <f>aantalw2001_niet_gespec</f>
        <v>75</v>
      </c>
      <c r="C23" s="167" t="s">
        <v>111</v>
      </c>
      <c r="D23" s="229"/>
      <c r="E23" s="15"/>
    </row>
    <row r="24" spans="1:7">
      <c r="A24" s="172" t="s">
        <v>77</v>
      </c>
      <c r="B24" s="37">
        <f>aantalw2001_steenkool</f>
        <v>140</v>
      </c>
      <c r="C24" s="167" t="s">
        <v>111</v>
      </c>
      <c r="D24" s="230"/>
      <c r="E24" s="15"/>
    </row>
    <row r="25" spans="1:7">
      <c r="A25" s="172" t="s">
        <v>78</v>
      </c>
      <c r="B25" s="37">
        <f>aantalw2001_stookolie</f>
        <v>4386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7352</v>
      </c>
      <c r="C28" s="36"/>
      <c r="D28" s="229"/>
    </row>
    <row r="29" spans="1:7" s="15" customFormat="1">
      <c r="A29" s="231" t="s">
        <v>714</v>
      </c>
      <c r="B29" s="37">
        <f>SUM(HH_hh_gas_aantal,HH_rest_gas_aantal)</f>
        <v>3194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3194</v>
      </c>
      <c r="C32" s="168">
        <f>IF(ISERROR(B32/SUM($B$32,$B$34,$B$35,$B$36,$B$38,$B$39)*100),0,B32/SUM($B$32,$B$34,$B$35,$B$36,$B$38,$B$39)*100)</f>
        <v>43.598143598143594</v>
      </c>
      <c r="D32" s="234"/>
      <c r="G32" s="15"/>
    </row>
    <row r="33" spans="1:7">
      <c r="A33" s="172" t="s">
        <v>72</v>
      </c>
      <c r="B33" s="34" t="s">
        <v>111</v>
      </c>
      <c r="C33" s="168"/>
      <c r="D33" s="234"/>
      <c r="G33" s="15"/>
    </row>
    <row r="34" spans="1:7">
      <c r="A34" s="172" t="s">
        <v>73</v>
      </c>
      <c r="B34" s="33">
        <f>IF((($B$28-$B$32-$B$39-$B$77-$B$38)*C20/100)&lt;0,0,($B$28-$B$32-$B$39-$B$77-$B$38)*C20/100)</f>
        <v>254.91217798594852</v>
      </c>
      <c r="C34" s="168">
        <f>IF(ISERROR(B34/SUM($B$32,$B$34,$B$35,$B$36,$B$38,$B$39)*100),0,B34/SUM($B$32,$B$34,$B$35,$B$36,$B$38,$B$39)*100)</f>
        <v>3.4795547090629064</v>
      </c>
      <c r="D34" s="234"/>
      <c r="G34" s="15"/>
    </row>
    <row r="35" spans="1:7">
      <c r="A35" s="172" t="s">
        <v>74</v>
      </c>
      <c r="B35" s="33">
        <f>IF((($B$28-$B$32-$B$39-$B$77-$B$38)*C21/100)&lt;0,0,($B$28-$B$32-$B$39-$B$77-$B$38)*C21/100)</f>
        <v>1052.8981264637002</v>
      </c>
      <c r="C35" s="168">
        <f>IF(ISERROR(B35/SUM($B$32,$B$34,$B$35,$B$36,$B$38,$B$39)*100),0,B35/SUM($B$32,$B$34,$B$35,$B$36,$B$38,$B$39)*100)</f>
        <v>14.372073798303306</v>
      </c>
      <c r="D35" s="234"/>
      <c r="G35" s="15"/>
    </row>
    <row r="36" spans="1:7">
      <c r="A36" s="172" t="s">
        <v>75</v>
      </c>
      <c r="B36" s="33">
        <f>IF((($B$28-$B$32-$B$39-$B$77-$B$38)*C22/100)&lt;0,0,($B$28-$B$32-$B$39-$B$77-$B$38)*C22/100)</f>
        <v>269.6896955503513</v>
      </c>
      <c r="C36" s="168">
        <f>IF(ISERROR(B36/SUM($B$32,$B$34,$B$35,$B$36,$B$38,$B$39)*100),0,B36/SUM($B$32,$B$34,$B$35,$B$36,$B$38,$B$39)*100)</f>
        <v>3.6812680255303212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2554.5</v>
      </c>
      <c r="C39" s="168">
        <f>IF(ISERROR(B39/SUM($B$32,$B$34,$B$35,$B$36,$B$38,$B$39)*100),0,B39/SUM($B$32,$B$34,$B$35,$B$36,$B$38,$B$39)*100)</f>
        <v>34.86895986895987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3194</v>
      </c>
      <c r="C44" s="34" t="s">
        <v>111</v>
      </c>
      <c r="D44" s="175"/>
    </row>
    <row r="45" spans="1:7">
      <c r="A45" s="172" t="s">
        <v>72</v>
      </c>
      <c r="B45" s="33" t="str">
        <f t="shared" si="0"/>
        <v>-</v>
      </c>
      <c r="C45" s="34" t="s">
        <v>111</v>
      </c>
      <c r="D45" s="175"/>
    </row>
    <row r="46" spans="1:7">
      <c r="A46" s="172" t="s">
        <v>73</v>
      </c>
      <c r="B46" s="33">
        <f t="shared" si="0"/>
        <v>254.91217798594852</v>
      </c>
      <c r="C46" s="34" t="s">
        <v>111</v>
      </c>
      <c r="D46" s="175"/>
    </row>
    <row r="47" spans="1:7">
      <c r="A47" s="172" t="s">
        <v>74</v>
      </c>
      <c r="B47" s="33">
        <f t="shared" si="0"/>
        <v>1052.8981264637002</v>
      </c>
      <c r="C47" s="34" t="s">
        <v>111</v>
      </c>
      <c r="D47" s="175"/>
    </row>
    <row r="48" spans="1:7">
      <c r="A48" s="172" t="s">
        <v>75</v>
      </c>
      <c r="B48" s="33">
        <f t="shared" si="0"/>
        <v>269.6896955503513</v>
      </c>
      <c r="C48" s="33">
        <f>B48*10</f>
        <v>2696.8969555035128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2554.5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90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21947.017</v>
      </c>
      <c r="C5" s="17">
        <f>IF(ISERROR('Eigen informatie GS &amp; warmtenet'!B58),0,'Eigen informatie GS &amp; warmtenet'!B58)</f>
        <v>0</v>
      </c>
      <c r="D5" s="30">
        <f>SUM(D6:D12)</f>
        <v>16199.904666</v>
      </c>
      <c r="E5" s="17">
        <f>SUM(E6:E12)</f>
        <v>396.14994107881046</v>
      </c>
      <c r="F5" s="17">
        <f>SUM(F6:F12)</f>
        <v>4082.0948512844593</v>
      </c>
      <c r="G5" s="18"/>
      <c r="H5" s="17"/>
      <c r="I5" s="17"/>
      <c r="J5" s="17">
        <f>SUM(J6:J12)</f>
        <v>0</v>
      </c>
      <c r="K5" s="17"/>
      <c r="L5" s="17"/>
      <c r="M5" s="17"/>
      <c r="N5" s="17">
        <f>SUM(N6:N12)</f>
        <v>863.60681032526395</v>
      </c>
      <c r="O5" s="17">
        <f>B38*B39*B40</f>
        <v>0</v>
      </c>
      <c r="P5" s="17">
        <f>B46*B47*B48/1000-B46*B47*B48/1000/B49</f>
        <v>0</v>
      </c>
      <c r="R5" s="32"/>
    </row>
    <row r="6" spans="1:18">
      <c r="A6" s="32" t="s">
        <v>54</v>
      </c>
      <c r="B6" s="37">
        <f>B26</f>
        <v>5573.2139999999999</v>
      </c>
      <c r="C6" s="33"/>
      <c r="D6" s="37">
        <f>IF(ISERROR(TER_kantoor_gas_kWh/1000),0,TER_kantoor_gas_kWh/1000)*0.902</f>
        <v>5145.4526860000005</v>
      </c>
      <c r="E6" s="33">
        <f>$C$26*'E Balans VL '!I12/100/3.6*1000000</f>
        <v>195.08441361182003</v>
      </c>
      <c r="F6" s="33">
        <f>$C$26*('E Balans VL '!L12+'E Balans VL '!N12)/100/3.6*1000000</f>
        <v>845.01889813206139</v>
      </c>
      <c r="G6" s="34"/>
      <c r="H6" s="33"/>
      <c r="I6" s="33"/>
      <c r="J6" s="33">
        <f>$C$26*('E Balans VL '!D12+'E Balans VL '!E12)/100/3.6*1000000</f>
        <v>0</v>
      </c>
      <c r="K6" s="33"/>
      <c r="L6" s="33"/>
      <c r="M6" s="33"/>
      <c r="N6" s="33">
        <f>$C$26*'E Balans VL '!Y12/100/3.6*1000000</f>
        <v>43.07919985202517</v>
      </c>
      <c r="O6" s="33"/>
      <c r="P6" s="33"/>
      <c r="R6" s="32"/>
    </row>
    <row r="7" spans="1:18">
      <c r="A7" s="32" t="s">
        <v>53</v>
      </c>
      <c r="B7" s="37">
        <f t="shared" ref="B7:B12" si="0">B27</f>
        <v>2363.9</v>
      </c>
      <c r="C7" s="33"/>
      <c r="D7" s="37">
        <f>IF(ISERROR(TER_horeca_gas_kWh/1000),0,TER_horeca_gas_kWh/1000)*0.902</f>
        <v>2437.7776720000002</v>
      </c>
      <c r="E7" s="33">
        <f>$C$27*'E Balans VL '!I9/100/3.6*1000000</f>
        <v>133.35539221495861</v>
      </c>
      <c r="F7" s="33">
        <f>$C$27*('E Balans VL '!L9+'E Balans VL '!N9)/100/3.6*1000000</f>
        <v>411.8044619905649</v>
      </c>
      <c r="G7" s="34"/>
      <c r="H7" s="33"/>
      <c r="I7" s="33"/>
      <c r="J7" s="33">
        <f>$C$27*('E Balans VL '!D9+'E Balans VL '!E9)/100/3.6*1000000</f>
        <v>0</v>
      </c>
      <c r="K7" s="33"/>
      <c r="L7" s="33"/>
      <c r="M7" s="33"/>
      <c r="N7" s="33">
        <f>$C$27*'E Balans VL '!Y9/100/3.6*1000000</f>
        <v>0</v>
      </c>
      <c r="O7" s="33"/>
      <c r="P7" s="33"/>
      <c r="R7" s="32"/>
    </row>
    <row r="8" spans="1:18">
      <c r="A8" s="6" t="s">
        <v>52</v>
      </c>
      <c r="B8" s="37">
        <f t="shared" si="0"/>
        <v>8898.0130000000008</v>
      </c>
      <c r="C8" s="33"/>
      <c r="D8" s="37">
        <f>IF(ISERROR(TER_handel_gas_kWh/1000),0,TER_handel_gas_kWh/1000)*0.902</f>
        <v>3965.2235700000001</v>
      </c>
      <c r="E8" s="33">
        <f>$C$28*'E Balans VL '!I13/100/3.6*1000000</f>
        <v>45.681494716990606</v>
      </c>
      <c r="F8" s="33">
        <f>$C$28*('E Balans VL '!L13+'E Balans VL '!N13)/100/3.6*1000000</f>
        <v>1371.9361161853481</v>
      </c>
      <c r="G8" s="34"/>
      <c r="H8" s="33"/>
      <c r="I8" s="33"/>
      <c r="J8" s="33">
        <f>$C$28*('E Balans VL '!D13+'E Balans VL '!E13)/100/3.6*1000000</f>
        <v>0</v>
      </c>
      <c r="K8" s="33"/>
      <c r="L8" s="33"/>
      <c r="M8" s="33"/>
      <c r="N8" s="33">
        <f>$C$28*'E Balans VL '!Y13/100/3.6*1000000</f>
        <v>4.1617092949686336</v>
      </c>
      <c r="O8" s="33"/>
      <c r="P8" s="33"/>
      <c r="R8" s="32"/>
    </row>
    <row r="9" spans="1:18">
      <c r="A9" s="32" t="s">
        <v>51</v>
      </c>
      <c r="B9" s="37">
        <f t="shared" si="0"/>
        <v>1354.5150000000001</v>
      </c>
      <c r="C9" s="33"/>
      <c r="D9" s="37">
        <f>IF(ISERROR(TER_gezond_gas_kWh/1000),0,TER_gezond_gas_kWh/1000)*0.902</f>
        <v>2290.044504</v>
      </c>
      <c r="E9" s="33">
        <f>$C$29*'E Balans VL '!I10/100/3.6*1000000</f>
        <v>0.561436820989899</v>
      </c>
      <c r="F9" s="33">
        <f>$C$29*('E Balans VL '!L10+'E Balans VL '!N10)/100/3.6*1000000</f>
        <v>333.59761816357195</v>
      </c>
      <c r="G9" s="34"/>
      <c r="H9" s="33"/>
      <c r="I9" s="33"/>
      <c r="J9" s="33">
        <f>$C$29*('E Balans VL '!D10+'E Balans VL '!E10)/100/3.6*1000000</f>
        <v>0</v>
      </c>
      <c r="K9" s="33"/>
      <c r="L9" s="33"/>
      <c r="M9" s="33"/>
      <c r="N9" s="33">
        <f>$C$29*'E Balans VL '!Y10/100/3.6*1000000</f>
        <v>11.706362194099</v>
      </c>
      <c r="O9" s="33"/>
      <c r="P9" s="33"/>
      <c r="R9" s="32"/>
    </row>
    <row r="10" spans="1:18">
      <c r="A10" s="32" t="s">
        <v>50</v>
      </c>
      <c r="B10" s="37">
        <f t="shared" si="0"/>
        <v>3487.8110000000001</v>
      </c>
      <c r="C10" s="33"/>
      <c r="D10" s="37">
        <f>IF(ISERROR(TER_ander_gas_kWh/1000),0,TER_ander_gas_kWh/1000)*0.902</f>
        <v>1498.2310199999999</v>
      </c>
      <c r="E10" s="33">
        <f>$C$30*'E Balans VL '!I14/100/3.6*1000000</f>
        <v>21.261781909705572</v>
      </c>
      <c r="F10" s="33">
        <f>$C$30*('E Balans VL '!L14+'E Balans VL '!N14)/100/3.6*1000000</f>
        <v>924.66647369105237</v>
      </c>
      <c r="G10" s="34"/>
      <c r="H10" s="33"/>
      <c r="I10" s="33"/>
      <c r="J10" s="33">
        <f>$C$30*('E Balans VL '!D14+'E Balans VL '!E14)/100/3.6*1000000</f>
        <v>0</v>
      </c>
      <c r="K10" s="33"/>
      <c r="L10" s="33"/>
      <c r="M10" s="33"/>
      <c r="N10" s="33">
        <f>$C$30*'E Balans VL '!Y14/100/3.6*1000000</f>
        <v>803.86506945154906</v>
      </c>
      <c r="O10" s="33"/>
      <c r="P10" s="33"/>
      <c r="R10" s="32"/>
    </row>
    <row r="11" spans="1:18">
      <c r="A11" s="32" t="s">
        <v>55</v>
      </c>
      <c r="B11" s="37">
        <f t="shared" si="0"/>
        <v>269.56400000000002</v>
      </c>
      <c r="C11" s="33"/>
      <c r="D11" s="37">
        <f>IF(ISERROR(TER_onderwijs_gas_kWh/1000),0,TER_onderwijs_gas_kWh/1000)*0.902</f>
        <v>863.17521399999998</v>
      </c>
      <c r="E11" s="33">
        <f>$C$31*'E Balans VL '!I11/100/3.6*1000000</f>
        <v>0.20542180434576468</v>
      </c>
      <c r="F11" s="33">
        <f>$C$31*('E Balans VL '!L11+'E Balans VL '!N11)/100/3.6*1000000</f>
        <v>195.07128312186083</v>
      </c>
      <c r="G11" s="34"/>
      <c r="H11" s="33"/>
      <c r="I11" s="33"/>
      <c r="J11" s="33">
        <f>$C$31*('E Balans VL '!D11+'E Balans VL '!E11)/100/3.6*1000000</f>
        <v>0</v>
      </c>
      <c r="K11" s="33"/>
      <c r="L11" s="33"/>
      <c r="M11" s="33"/>
      <c r="N11" s="33">
        <f>$C$31*'E Balans VL '!Y11/100/3.6*1000000</f>
        <v>0.79446953262205666</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23.85</v>
      </c>
      <c r="C13" s="248">
        <f ca="1">'lokale energieproductie'!O90+'lokale energieproductie'!O59</f>
        <v>34.071428571428577</v>
      </c>
      <c r="D13" s="311">
        <f ca="1">('lokale energieproductie'!P59+'lokale energieproductie'!P90)*(-1)</f>
        <v>-68.142857142857153</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21970.866999999998</v>
      </c>
      <c r="C16" s="21">
        <f ca="1">C5+C13+C14</f>
        <v>34.071428571428577</v>
      </c>
      <c r="D16" s="21">
        <f t="shared" ref="D16:N16" ca="1" si="1">MAX((D5+D13+D14),0)</f>
        <v>16131.761808857143</v>
      </c>
      <c r="E16" s="21">
        <f t="shared" si="1"/>
        <v>396.14994107881046</v>
      </c>
      <c r="F16" s="21">
        <f t="shared" ca="1" si="1"/>
        <v>4082.0948512844593</v>
      </c>
      <c r="G16" s="21">
        <f t="shared" si="1"/>
        <v>0</v>
      </c>
      <c r="H16" s="21">
        <f t="shared" si="1"/>
        <v>0</v>
      </c>
      <c r="I16" s="21">
        <f t="shared" si="1"/>
        <v>0</v>
      </c>
      <c r="J16" s="21">
        <f t="shared" si="1"/>
        <v>0</v>
      </c>
      <c r="K16" s="21">
        <f t="shared" si="1"/>
        <v>0</v>
      </c>
      <c r="L16" s="21">
        <f t="shared" ca="1" si="1"/>
        <v>0</v>
      </c>
      <c r="M16" s="21">
        <f t="shared" si="1"/>
        <v>0</v>
      </c>
      <c r="N16" s="21">
        <f t="shared" ca="1" si="1"/>
        <v>863.60681032526395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0.21723619597505273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4772.867569353818</v>
      </c>
      <c r="C20" s="23">
        <f t="shared" ref="C20:P20" ca="1" si="2">C16*C18</f>
        <v>8.0969747899159685</v>
      </c>
      <c r="D20" s="23">
        <f t="shared" ca="1" si="2"/>
        <v>3258.6158853891434</v>
      </c>
      <c r="E20" s="23">
        <f t="shared" si="2"/>
        <v>89.926036624889974</v>
      </c>
      <c r="F20" s="23">
        <f t="shared" ca="1" si="2"/>
        <v>1089.9193252929506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5573.2139999999999</v>
      </c>
      <c r="C26" s="39">
        <f>IF(ISERROR(B26*3.6/1000000/'E Balans VL '!Z12*100),0,B26*3.6/1000000/'E Balans VL '!Z12*100)</f>
        <v>0.11727904615028478</v>
      </c>
      <c r="D26" s="238" t="s">
        <v>720</v>
      </c>
      <c r="F26" s="6"/>
    </row>
    <row r="27" spans="1:18">
      <c r="A27" s="232" t="s">
        <v>53</v>
      </c>
      <c r="B27" s="33">
        <f>IF(ISERROR(TER_horeca_ele_kWh/1000),0,TER_horeca_ele_kWh/1000)</f>
        <v>2363.9</v>
      </c>
      <c r="C27" s="39">
        <f>IF(ISERROR(B27*3.6/1000000/'E Balans VL '!Z9*100),0,B27*3.6/1000000/'E Balans VL '!Z9*100)</f>
        <v>0.20014477050251372</v>
      </c>
      <c r="D27" s="238" t="s">
        <v>720</v>
      </c>
      <c r="F27" s="6"/>
    </row>
    <row r="28" spans="1:18">
      <c r="A28" s="172" t="s">
        <v>52</v>
      </c>
      <c r="B28" s="33">
        <f>IF(ISERROR(TER_handel_ele_kWh/1000),0,TER_handel_ele_kWh/1000)</f>
        <v>8898.0130000000008</v>
      </c>
      <c r="C28" s="39">
        <f>IF(ISERROR(B28*3.6/1000000/'E Balans VL '!Z13*100),0,B28*3.6/1000000/'E Balans VL '!Z13*100)</f>
        <v>0.24634025949625366</v>
      </c>
      <c r="D28" s="238" t="s">
        <v>720</v>
      </c>
      <c r="F28" s="6"/>
    </row>
    <row r="29" spans="1:18">
      <c r="A29" s="232" t="s">
        <v>51</v>
      </c>
      <c r="B29" s="33">
        <f>IF(ISERROR(TER_gezond_ele_kWh/1000),0,TER_gezond_ele_kWh/1000)</f>
        <v>1354.5150000000001</v>
      </c>
      <c r="C29" s="39">
        <f>IF(ISERROR(B29*3.6/1000000/'E Balans VL '!Z10*100),0,B29*3.6/1000000/'E Balans VL '!Z10*100)</f>
        <v>0.17607193345044972</v>
      </c>
      <c r="D29" s="238" t="s">
        <v>720</v>
      </c>
      <c r="F29" s="6"/>
    </row>
    <row r="30" spans="1:18">
      <c r="A30" s="232" t="s">
        <v>50</v>
      </c>
      <c r="B30" s="33">
        <f>IF(ISERROR(TER_ander_ele_kWh/1000),0,TER_ander_ele_kWh/1000)</f>
        <v>3487.8110000000001</v>
      </c>
      <c r="C30" s="39">
        <f>IF(ISERROR(B30*3.6/1000000/'E Balans VL '!Z14*100),0,B30*3.6/1000000/'E Balans VL '!Z14*100)</f>
        <v>0.27033733817028793</v>
      </c>
      <c r="D30" s="238" t="s">
        <v>720</v>
      </c>
      <c r="F30" s="6"/>
    </row>
    <row r="31" spans="1:18">
      <c r="A31" s="232" t="s">
        <v>55</v>
      </c>
      <c r="B31" s="33">
        <f>IF(ISERROR(TER_onderwijs_ele_kWh/1000),0,TER_onderwijs_ele_kWh/1000)</f>
        <v>269.56400000000002</v>
      </c>
      <c r="C31" s="39">
        <f>IF(ISERROR(B31*3.6/1000000/'E Balans VL '!Z11*100),0,B31*3.6/1000000/'E Balans VL '!Z11*100)</f>
        <v>5.1572186473356492E-2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143023.36799999999</v>
      </c>
      <c r="C5" s="17">
        <f>IF(ISERROR('Eigen informatie GS &amp; warmtenet'!B59),0,'Eigen informatie GS &amp; warmtenet'!B59)</f>
        <v>0</v>
      </c>
      <c r="D5" s="30">
        <f>SUM(D6:D15)</f>
        <v>25217.285258000004</v>
      </c>
      <c r="E5" s="17">
        <f>SUM(E6:E15)</f>
        <v>2844.5646113992002</v>
      </c>
      <c r="F5" s="17">
        <f>SUM(F6:F15)</f>
        <v>18042.63882097858</v>
      </c>
      <c r="G5" s="18"/>
      <c r="H5" s="17"/>
      <c r="I5" s="17"/>
      <c r="J5" s="17">
        <f>SUM(J6:J15)</f>
        <v>1206.8121276640343</v>
      </c>
      <c r="K5" s="17"/>
      <c r="L5" s="17"/>
      <c r="M5" s="17"/>
      <c r="N5" s="17">
        <f>SUM(N6:N15)</f>
        <v>504.1230795296882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30124.294000000002</v>
      </c>
      <c r="C8" s="33"/>
      <c r="D8" s="37">
        <f>IF( ISERROR(IND_metaal_Gas_kWH/1000),0,IND_metaal_Gas_kWH/1000)*0.902</f>
        <v>881.059168</v>
      </c>
      <c r="E8" s="33">
        <f>C30*'E Balans VL '!I18/100/3.6*1000000</f>
        <v>211.67676731402148</v>
      </c>
      <c r="F8" s="33">
        <f>C30*'E Balans VL '!L18/100/3.6*1000000+C30*'E Balans VL '!N18/100/3.6*1000000</f>
        <v>3307.4712367326147</v>
      </c>
      <c r="G8" s="34"/>
      <c r="H8" s="33"/>
      <c r="I8" s="33"/>
      <c r="J8" s="40">
        <f>C30*'E Balans VL '!D18/100/3.6*1000000+C30*'E Balans VL '!E18/100/3.6*1000000</f>
        <v>621.52911487543724</v>
      </c>
      <c r="K8" s="33"/>
      <c r="L8" s="33"/>
      <c r="M8" s="33"/>
      <c r="N8" s="33">
        <f>C30*'E Balans VL '!Y18/100/3.6*1000000</f>
        <v>112.90802346132679</v>
      </c>
      <c r="O8" s="33"/>
      <c r="P8" s="33"/>
      <c r="R8" s="32"/>
    </row>
    <row r="9" spans="1:18">
      <c r="A9" s="6" t="s">
        <v>33</v>
      </c>
      <c r="B9" s="37">
        <f t="shared" si="0"/>
        <v>4642.5959999999995</v>
      </c>
      <c r="C9" s="33"/>
      <c r="D9" s="37">
        <f>IF( ISERROR(IND_andere_gas_kWh/1000),0,IND_andere_gas_kWh/1000)*0.902</f>
        <v>5515.8526720000009</v>
      </c>
      <c r="E9" s="33">
        <f>C31*'E Balans VL '!I19/100/3.6*1000000</f>
        <v>77.978087181687357</v>
      </c>
      <c r="F9" s="33">
        <f>C31*'E Balans VL '!L19/100/3.6*1000000+C31*'E Balans VL '!N19/100/3.6*1000000</f>
        <v>3629.3171302756296</v>
      </c>
      <c r="G9" s="34"/>
      <c r="H9" s="33"/>
      <c r="I9" s="33"/>
      <c r="J9" s="40">
        <f>C31*'E Balans VL '!D19/100/3.6*1000000+C31*'E Balans VL '!E19/100/3.6*1000000</f>
        <v>0.41872117721810914</v>
      </c>
      <c r="K9" s="33"/>
      <c r="L9" s="33"/>
      <c r="M9" s="33"/>
      <c r="N9" s="33">
        <f>C31*'E Balans VL '!Y19/100/3.6*1000000</f>
        <v>344.09084749546139</v>
      </c>
      <c r="O9" s="33"/>
      <c r="P9" s="33"/>
      <c r="R9" s="32"/>
    </row>
    <row r="10" spans="1:18">
      <c r="A10" s="6" t="s">
        <v>41</v>
      </c>
      <c r="B10" s="37">
        <f t="shared" si="0"/>
        <v>607.23699999999997</v>
      </c>
      <c r="C10" s="33"/>
      <c r="D10" s="37">
        <f>IF( ISERROR(IND_voed_gas_kWh/1000),0,IND_voed_gas_kWh/1000)*0.902</f>
        <v>381.82922800000006</v>
      </c>
      <c r="E10" s="33">
        <f>C32*'E Balans VL '!I20/100/3.6*1000000</f>
        <v>5.5401780506767828</v>
      </c>
      <c r="F10" s="33">
        <f>C32*'E Balans VL '!L20/100/3.6*1000000+C32*'E Balans VL '!N20/100/3.6*1000000</f>
        <v>97.966321361835639</v>
      </c>
      <c r="G10" s="34"/>
      <c r="H10" s="33"/>
      <c r="I10" s="33"/>
      <c r="J10" s="40">
        <f>C32*'E Balans VL '!D20/100/3.6*1000000+C32*'E Balans VL '!E20/100/3.6*1000000</f>
        <v>2.5010000898484166</v>
      </c>
      <c r="K10" s="33"/>
      <c r="L10" s="33"/>
      <c r="M10" s="33"/>
      <c r="N10" s="33">
        <f>C32*'E Balans VL '!Y20/100/3.6*1000000</f>
        <v>8.8833984901869094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101569.068</v>
      </c>
      <c r="C12" s="33"/>
      <c r="D12" s="37">
        <f>IF( ISERROR(IND_min_gas_kWh/1000),0,IND_min_gas_kWh/1000)*0.902</f>
        <v>0</v>
      </c>
      <c r="E12" s="33">
        <f>C34*'E Balans VL '!I22/100/3.6*1000000</f>
        <v>2519.2430923474767</v>
      </c>
      <c r="F12" s="33">
        <f>C34*'E Balans VL '!L22/100/3.6*1000000+C34*'E Balans VL '!N22/100/3.6*1000000</f>
        <v>10792.685998446268</v>
      </c>
      <c r="G12" s="34"/>
      <c r="H12" s="33"/>
      <c r="I12" s="33"/>
      <c r="J12" s="40">
        <f>C34*'E Balans VL '!D22/100/3.6*1000000+C34*'E Balans VL '!E22/100/3.6*1000000</f>
        <v>576.97190313000965</v>
      </c>
      <c r="K12" s="33"/>
      <c r="L12" s="33"/>
      <c r="M12" s="33"/>
      <c r="N12" s="33">
        <f>C34*'E Balans VL '!Y22/100/3.6*1000000</f>
        <v>0</v>
      </c>
      <c r="O12" s="33"/>
      <c r="P12" s="33"/>
      <c r="R12" s="32"/>
    </row>
    <row r="13" spans="1:18">
      <c r="A13" s="6" t="s">
        <v>39</v>
      </c>
      <c r="B13" s="37">
        <f t="shared" si="0"/>
        <v>182.61199999999999</v>
      </c>
      <c r="C13" s="33"/>
      <c r="D13" s="37">
        <f>IF( ISERROR(IND_papier_gas_kWh/1000),0,IND_papier_gas_kWh/1000)*0.902</f>
        <v>306.66556800000001</v>
      </c>
      <c r="E13" s="33">
        <f>C35*'E Balans VL '!I23/100/3.6*1000000</f>
        <v>5.6184946651249508</v>
      </c>
      <c r="F13" s="33">
        <f>C35*'E Balans VL '!L23/100/3.6*1000000+C35*'E Balans VL '!N23/100/3.6*1000000</f>
        <v>38.774909512341374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5096.8620000000001</v>
      </c>
      <c r="C14" s="33"/>
      <c r="D14" s="37">
        <f>IF( ISERROR(IND_chemie_gas_kWh/1000),0,IND_chemie_gas_kWh/1000)*0.902</f>
        <v>0</v>
      </c>
      <c r="E14" s="33">
        <f>C36*'E Balans VL '!I24/100/3.6*1000000</f>
        <v>17.281872728793829</v>
      </c>
      <c r="F14" s="33">
        <f>C36*'E Balans VL '!L24/100/3.6*1000000+C36*'E Balans VL '!N24/100/3.6*1000000</f>
        <v>16.357065056760835</v>
      </c>
      <c r="G14" s="34"/>
      <c r="H14" s="33"/>
      <c r="I14" s="33"/>
      <c r="J14" s="40">
        <f>C36*'E Balans VL '!D24/100/3.6*1000000+C36*'E Balans VL '!E24/100/3.6*1000000</f>
        <v>0</v>
      </c>
      <c r="K14" s="33"/>
      <c r="L14" s="33"/>
      <c r="M14" s="33"/>
      <c r="N14" s="33">
        <f>C36*'E Balans VL '!Y24/100/3.6*1000000</f>
        <v>23.831545437821401</v>
      </c>
      <c r="O14" s="33"/>
      <c r="P14" s="33"/>
      <c r="R14" s="32"/>
    </row>
    <row r="15" spans="1:18">
      <c r="A15" s="6" t="s">
        <v>271</v>
      </c>
      <c r="B15" s="37">
        <f t="shared" si="0"/>
        <v>800.69899999999996</v>
      </c>
      <c r="C15" s="33"/>
      <c r="D15" s="37">
        <f>IF( ISERROR(IND_rest_gas_kWh/1000),0,IND_rest_gas_kWh/1000)*0.902</f>
        <v>18131.878622</v>
      </c>
      <c r="E15" s="33">
        <f>C37*'E Balans VL '!I15/100/3.6*1000000</f>
        <v>7.2261191114185452</v>
      </c>
      <c r="F15" s="33">
        <f>C37*'E Balans VL '!L15/100/3.6*1000000+C37*'E Balans VL '!N15/100/3.6*1000000</f>
        <v>160.06615959313118</v>
      </c>
      <c r="G15" s="34"/>
      <c r="H15" s="33"/>
      <c r="I15" s="33"/>
      <c r="J15" s="40">
        <f>C37*'E Balans VL '!D15/100/3.6*1000000+C37*'E Balans VL '!E15/100/3.6*1000000</f>
        <v>5.3913883915207759</v>
      </c>
      <c r="K15" s="33"/>
      <c r="L15" s="33"/>
      <c r="M15" s="33"/>
      <c r="N15" s="33">
        <f>C37*'E Balans VL '!Y15/100/3.6*1000000</f>
        <v>14.409264644891737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143023.36799999999</v>
      </c>
      <c r="C18" s="21">
        <f>C5+C16</f>
        <v>0</v>
      </c>
      <c r="D18" s="21">
        <f>MAX((D5+D16),0)</f>
        <v>25217.285258000004</v>
      </c>
      <c r="E18" s="21">
        <f>MAX((E5+E16),0)</f>
        <v>2844.5646113992002</v>
      </c>
      <c r="F18" s="21">
        <f>MAX((F5+F16),0)</f>
        <v>18042.63882097858</v>
      </c>
      <c r="G18" s="21"/>
      <c r="H18" s="21"/>
      <c r="I18" s="21"/>
      <c r="J18" s="21">
        <f>MAX((J5+J16),0)</f>
        <v>1206.8121276640343</v>
      </c>
      <c r="K18" s="21"/>
      <c r="L18" s="21">
        <f>MAX((L5+L16),0)</f>
        <v>0</v>
      </c>
      <c r="M18" s="21"/>
      <c r="N18" s="21">
        <f>MAX((N5+N16),0)</f>
        <v>504.1230795296882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0.21723619597505273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31069.852399860083</v>
      </c>
      <c r="C22" s="23">
        <f ca="1">C18*C20</f>
        <v>0</v>
      </c>
      <c r="D22" s="23">
        <f>D18*D20</f>
        <v>5093.8916221160007</v>
      </c>
      <c r="E22" s="23">
        <f>E18*E20</f>
        <v>645.71616678761848</v>
      </c>
      <c r="F22" s="23">
        <f>F18*F20</f>
        <v>4817.3845652012815</v>
      </c>
      <c r="G22" s="23"/>
      <c r="H22" s="23"/>
      <c r="I22" s="23"/>
      <c r="J22" s="23">
        <f>J18*J20</f>
        <v>427.21149319306812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30124.294000000002</v>
      </c>
      <c r="C30" s="39">
        <f>IF(ISERROR(B30*3.6/1000000/'E Balans VL '!Z18*100),0,B30*3.6/1000000/'E Balans VL '!Z18*100)</f>
        <v>2.0053926470154213</v>
      </c>
      <c r="D30" s="238" t="s">
        <v>720</v>
      </c>
    </row>
    <row r="31" spans="1:18">
      <c r="A31" s="6" t="s">
        <v>33</v>
      </c>
      <c r="B31" s="37">
        <f>IF( ISERROR(IND_ander_ele_kWh/1000),0,IND_ander_ele_kWh/1000)</f>
        <v>4642.5959999999995</v>
      </c>
      <c r="C31" s="39">
        <f>IF(ISERROR(B31*3.6/1000000/'E Balans VL '!Z19*100),0,B31*3.6/1000000/'E Balans VL '!Z19*100)</f>
        <v>0.20578788231879769</v>
      </c>
      <c r="D31" s="238" t="s">
        <v>720</v>
      </c>
    </row>
    <row r="32" spans="1:18">
      <c r="A32" s="172" t="s">
        <v>41</v>
      </c>
      <c r="B32" s="37">
        <f>IF( ISERROR(IND_voed_ele_kWh/1000),0,IND_voed_ele_kWh/1000)</f>
        <v>607.23699999999997</v>
      </c>
      <c r="C32" s="39">
        <f>IF(ISERROR(B32*3.6/1000000/'E Balans VL '!Z20*100),0,B32*3.6/1000000/'E Balans VL '!Z20*100)</f>
        <v>2.0283457737502227E-2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101569.068</v>
      </c>
      <c r="C34" s="39">
        <f>IF(ISERROR(B34*3.6/1000000/'E Balans VL '!Z22*100),0,B34*3.6/1000000/'E Balans VL '!Z22*100)</f>
        <v>19.754068053206701</v>
      </c>
      <c r="D34" s="238" t="s">
        <v>720</v>
      </c>
    </row>
    <row r="35" spans="1:5">
      <c r="A35" s="172" t="s">
        <v>39</v>
      </c>
      <c r="B35" s="37">
        <f>IF( ISERROR(IND_papier_ele_kWh/1000),0,IND_papier_ele_kWh/1000)</f>
        <v>182.61199999999999</v>
      </c>
      <c r="C35" s="39">
        <f>IF(ISERROR(B35*3.6/1000000/'E Balans VL '!Z22*100),0,B35*3.6/1000000/'E Balans VL '!Z22*100)</f>
        <v>3.551602812120104E-2</v>
      </c>
      <c r="D35" s="238" t="s">
        <v>720</v>
      </c>
    </row>
    <row r="36" spans="1:5">
      <c r="A36" s="172" t="s">
        <v>34</v>
      </c>
      <c r="B36" s="37">
        <f>IF( ISERROR(IND_chemie_ele_kWh/1000),0,IND_chemie_ele_kWh/1000)</f>
        <v>5096.8620000000001</v>
      </c>
      <c r="C36" s="39">
        <f>IF(ISERROR(B36*3.6/1000000/'E Balans VL '!Z24*100),0,B36*3.6/1000000/'E Balans VL '!Z24*100)</f>
        <v>0.11968804763992597</v>
      </c>
      <c r="D36" s="238" t="s">
        <v>720</v>
      </c>
    </row>
    <row r="37" spans="1:5">
      <c r="A37" s="172" t="s">
        <v>271</v>
      </c>
      <c r="B37" s="37">
        <f>IF( ISERROR(IND_rest_ele_kWh/1000),0,IND_rest_ele_kWh/1000)</f>
        <v>800.69899999999996</v>
      </c>
      <c r="C37" s="39">
        <f>IF(ISERROR(B37*3.6/1000000/'E Balans VL '!Z15*100),0,B37*3.6/1000000/'E Balans VL '!Z15*100)</f>
        <v>5.9558961097473115E-3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464.62900000000002</v>
      </c>
      <c r="C5" s="17">
        <f>'Eigen informatie GS &amp; warmtenet'!B60</f>
        <v>0</v>
      </c>
      <c r="D5" s="30">
        <f>IF(ISERROR(SUM(LB_lb_gas_kWh,LB_rest_gas_kWh,onbekend_gas_kWh)/1000),0,SUM(LB_lb_gas_kWh,LB_rest_gas_kWh,onbekend_gas_kWh)/1000)*0.902</f>
        <v>21.682276000000002</v>
      </c>
      <c r="E5" s="17">
        <f>B17*'E Balans VL '!I25/3.6*1000000/100</f>
        <v>4.8656954760765423</v>
      </c>
      <c r="F5" s="17">
        <f>B17*('E Balans VL '!L25/3.6*1000000+'E Balans VL '!N25/3.6*1000000)/100</f>
        <v>2386.4085242121855</v>
      </c>
      <c r="G5" s="18"/>
      <c r="H5" s="17"/>
      <c r="I5" s="17"/>
      <c r="J5" s="17">
        <f>('E Balans VL '!D25+'E Balans VL '!E25)/3.6*1000000*landbouw!B17/100</f>
        <v>41.495534240772649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464.62900000000002</v>
      </c>
      <c r="C8" s="21">
        <f>C5+C6</f>
        <v>0</v>
      </c>
      <c r="D8" s="21">
        <f>MAX((D5+D6),0)</f>
        <v>21.682276000000002</v>
      </c>
      <c r="E8" s="21">
        <f>MAX((E5+E6),0)</f>
        <v>4.8656954760765423</v>
      </c>
      <c r="F8" s="21">
        <f>MAX((F5+F6),0)</f>
        <v>2386.4085242121855</v>
      </c>
      <c r="G8" s="21"/>
      <c r="H8" s="21"/>
      <c r="I8" s="21"/>
      <c r="J8" s="21">
        <f>MAX((J5+J6),0)</f>
        <v>41.495534240772649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0.21723619597505273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100.93423649969277</v>
      </c>
      <c r="C12" s="23">
        <f ca="1">C8*C10</f>
        <v>0</v>
      </c>
      <c r="D12" s="23">
        <f>D8*D10</f>
        <v>4.3798197520000004</v>
      </c>
      <c r="E12" s="23">
        <f>E8*E10</f>
        <v>1.1045128730693752</v>
      </c>
      <c r="F12" s="23">
        <f>F8*F10</f>
        <v>637.1710759646536</v>
      </c>
      <c r="G12" s="23"/>
      <c r="H12" s="23"/>
      <c r="I12" s="23"/>
      <c r="J12" s="23">
        <f>J8*J10</f>
        <v>14.689419121233517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7.1515372097156665E-2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171.83214689662213</v>
      </c>
      <c r="C26" s="248">
        <f>B26*'GWP N2O_CH4'!B5</f>
        <v>3608.4750848290651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37.627335541170552</v>
      </c>
      <c r="C27" s="248">
        <f>B27*'GWP N2O_CH4'!B5</f>
        <v>790.17404636458161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2.1004723746147809</v>
      </c>
      <c r="C28" s="248">
        <f>B28*'GWP N2O_CH4'!B4</f>
        <v>651.14643613058206</v>
      </c>
      <c r="D28" s="50"/>
    </row>
    <row r="29" spans="1:4">
      <c r="A29" s="41" t="s">
        <v>278</v>
      </c>
      <c r="B29" s="248">
        <f>B34*'ha_N2O bodem landbouw'!B4</f>
        <v>13.576567110005533</v>
      </c>
      <c r="C29" s="248">
        <f>B29*'GWP N2O_CH4'!B4</f>
        <v>4208.7358041017151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2.2437060254435373E-3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3.8305455402559924E-6</v>
      </c>
      <c r="C5" s="446" t="s">
        <v>212</v>
      </c>
      <c r="D5" s="431">
        <f>SUM(D6:D11)</f>
        <v>2.0867872761736967E-5</v>
      </c>
      <c r="E5" s="431">
        <f>SUM(E6:E11)</f>
        <v>2.2404275189300783E-3</v>
      </c>
      <c r="F5" s="444" t="s">
        <v>212</v>
      </c>
      <c r="G5" s="431">
        <f>SUM(G6:G11)</f>
        <v>0.39662080503997721</v>
      </c>
      <c r="H5" s="431">
        <f>SUM(H6:H11)</f>
        <v>7.0016133930974001E-2</v>
      </c>
      <c r="I5" s="446" t="s">
        <v>212</v>
      </c>
      <c r="J5" s="446" t="s">
        <v>212</v>
      </c>
      <c r="K5" s="446" t="s">
        <v>212</v>
      </c>
      <c r="L5" s="446" t="s">
        <v>212</v>
      </c>
      <c r="M5" s="431">
        <f>SUM(M6:M11)</f>
        <v>2.0366300392888479E-2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1.3021763199016119E-6</v>
      </c>
      <c r="C6" s="432"/>
      <c r="D6" s="432">
        <f>vkm_2011_GW_PW*SUMIFS(TableVerdeelsleutelVkm[CNG],TableVerdeelsleutelVkm[Voertuigtype],"Lichte voertuigen")*SUMIFS(TableECFTransport[EnergieConsumptieFactor (PJ per km)],TableECFTransport[Index],CONCATENATE($A6,"_CNG_CNG"))</f>
        <v>5.6135307502875462E-6</v>
      </c>
      <c r="E6" s="434">
        <f>vkm_2011_GW_PW*SUMIFS(TableVerdeelsleutelVkm[LPG],TableVerdeelsleutelVkm[Voertuigtype],"Lichte voertuigen")*SUMIFS(TableECFTransport[EnergieConsumptieFactor (PJ per km)],TableECFTransport[Index],CONCATENATE($A6,"_LPG_LPG"))</f>
        <v>5.8405343066564807E-4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7.1840175361426534E-2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1.8914029427267616E-2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3.9772843461720149E-3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2.6497525831025579E-2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9.0856344140924117E-6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1.1446434681463486E-3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1.2124646479931661E-6</v>
      </c>
      <c r="C8" s="432"/>
      <c r="D8" s="434">
        <f>vkm_2011_NGW_PW*SUMIFS(TableVerdeelsleutelVkm[CNG],TableVerdeelsleutelVkm[Voertuigtype],"Lichte voertuigen")*SUMIFS(TableECFTransport[EnergieConsumptieFactor (PJ per km)],TableECFTransport[Index],CONCATENATE($A8,"_CNG_CNG"))</f>
        <v>9.3769960334298028E-6</v>
      </c>
      <c r="E8" s="434">
        <f>vkm_2011_NGW_PW*SUMIFS(TableVerdeelsleutelVkm[LPG],TableVerdeelsleutelVkm[Voertuigtype],"Lichte voertuigen")*SUMIFS(TableECFTransport[EnergieConsumptieFactor (PJ per km)],TableECFTransport[Index],CONCATENATE($A8,"_LPG_LPG"))</f>
        <v>8.9081241804090923E-4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0.10392690082444656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3.0159119019997495E-2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5.883119065520092E-3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1.5542053848701505E-2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4.6295695350050193E-6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6.7135523898662107E-4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1.3159045723612139E-6</v>
      </c>
      <c r="C10" s="432"/>
      <c r="D10" s="434">
        <f>vkm_2011_SW_PW*SUMIFS(TableVerdeelsleutelVkm[CNG],TableVerdeelsleutelVkm[Voertuigtype],"Lichte voertuigen")*SUMIFS(TableECFTransport[EnergieConsumptieFactor (PJ per km)],TableECFTransport[Index],CONCATENATE($A10,"_CNG_CNG"))</f>
        <v>5.8773459780196191E-6</v>
      </c>
      <c r="E10" s="434">
        <f>vkm_2011_SW_PW*SUMIFS(TableVerdeelsleutelVkm[LPG],TableVerdeelsleutelVkm[Voertuigtype],"Lichte voertuigen")*SUMIFS(TableECFTransport[EnergieConsumptieFactor (PJ per km)],TableECFTransport[Index],CONCATENATE($A10,"_LPG_LPG"))</f>
        <v>7.6556167022352099E-4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8.6570785791518681E-2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2.0895523452385718E-2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4.7050598267807222E-3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9.2243363382858379E-2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3.3746827374054304E-5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3.9848384472826806E-3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1.0640404278488869</v>
      </c>
      <c r="C14" s="21"/>
      <c r="D14" s="21">
        <f t="shared" ref="D14:M14" si="0">((D5)*10^9/3600)+D12</f>
        <v>5.7966313227047124</v>
      </c>
      <c r="E14" s="21">
        <f t="shared" si="0"/>
        <v>622.34097748057741</v>
      </c>
      <c r="F14" s="21"/>
      <c r="G14" s="21">
        <f t="shared" si="0"/>
        <v>110172.44584443812</v>
      </c>
      <c r="H14" s="21">
        <f t="shared" si="0"/>
        <v>19448.926091937225</v>
      </c>
      <c r="I14" s="21"/>
      <c r="J14" s="21"/>
      <c r="K14" s="21"/>
      <c r="L14" s="21"/>
      <c r="M14" s="21">
        <f t="shared" si="0"/>
        <v>5657.3056646912446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0.21723619597505273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0.23114809490955973</v>
      </c>
      <c r="C18" s="23"/>
      <c r="D18" s="23">
        <f t="shared" ref="D18:M18" si="1">D14*D16</f>
        <v>1.1709195271863519</v>
      </c>
      <c r="E18" s="23">
        <f t="shared" si="1"/>
        <v>141.27140188809108</v>
      </c>
      <c r="F18" s="23"/>
      <c r="G18" s="23">
        <f t="shared" si="1"/>
        <v>29416.043040464978</v>
      </c>
      <c r="H18" s="23">
        <f t="shared" si="1"/>
        <v>4842.7825968923689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7.7542672035553926E-3</v>
      </c>
      <c r="H50" s="322">
        <f t="shared" si="2"/>
        <v>0</v>
      </c>
      <c r="I50" s="322">
        <f t="shared" si="2"/>
        <v>0</v>
      </c>
      <c r="J50" s="322">
        <f t="shared" si="2"/>
        <v>0</v>
      </c>
      <c r="K50" s="322">
        <f t="shared" si="2"/>
        <v>0</v>
      </c>
      <c r="L50" s="322">
        <f t="shared" si="2"/>
        <v>0</v>
      </c>
      <c r="M50" s="322">
        <f t="shared" si="2"/>
        <v>3.3053072265540789E-4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7.7542672035553926E-3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3.3053072265540789E-4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2153.9631120987201</v>
      </c>
      <c r="H54" s="21">
        <f t="shared" si="3"/>
        <v>0</v>
      </c>
      <c r="I54" s="21">
        <f t="shared" si="3"/>
        <v>0</v>
      </c>
      <c r="J54" s="21">
        <f t="shared" si="3"/>
        <v>0</v>
      </c>
      <c r="K54" s="21">
        <f t="shared" si="3"/>
        <v>0</v>
      </c>
      <c r="L54" s="21">
        <f t="shared" si="3"/>
        <v>0</v>
      </c>
      <c r="M54" s="21">
        <f t="shared" si="3"/>
        <v>91.814089626502195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0.21723619597505273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575.10815093035831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3431.0685797474052</v>
      </c>
      <c r="C6" s="1124"/>
      <c r="D6" s="1127"/>
      <c r="E6" s="1127"/>
      <c r="F6" s="1130"/>
      <c r="G6" s="1133"/>
      <c r="H6" s="1121"/>
      <c r="I6" s="1127"/>
      <c r="J6" s="1127"/>
      <c r="K6" s="1127"/>
      <c r="L6" s="1157"/>
      <c r="M6" s="559"/>
      <c r="N6" s="1169"/>
      <c r="O6" s="1170"/>
      <c r="Q6" s="557"/>
      <c r="R6" s="1154"/>
      <c r="S6" s="1154"/>
    </row>
    <row r="7" spans="1:19" s="547" customFormat="1">
      <c r="A7" s="560" t="s">
        <v>253</v>
      </c>
      <c r="B7" s="561">
        <f>N57</f>
        <v>23.85</v>
      </c>
      <c r="C7" s="562">
        <f>B100</f>
        <v>28.058823529411768</v>
      </c>
      <c r="D7" s="563"/>
      <c r="E7" s="563">
        <f>E100</f>
        <v>0</v>
      </c>
      <c r="F7" s="564"/>
      <c r="G7" s="565"/>
      <c r="H7" s="563">
        <f>I100</f>
        <v>0</v>
      </c>
      <c r="I7" s="563">
        <f>G100+F100</f>
        <v>0</v>
      </c>
      <c r="J7" s="563">
        <f>H100+D100+C100</f>
        <v>0</v>
      </c>
      <c r="K7" s="563"/>
      <c r="L7" s="566"/>
      <c r="M7" s="567">
        <f>C7*$C$11+D7*$D$11+E7*$E$11+F7*$F$11+G7*$G$11+H7*$H$11+I7*$I$11+J7*$J$11</f>
        <v>5.6678823529411773</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3454.9185797474051</v>
      </c>
      <c r="C9" s="578">
        <f t="shared" ref="C9:L9" si="0">SUM(C7:C8)</f>
        <v>28.058823529411768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5.6678823529411773</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34.071428571428577</v>
      </c>
      <c r="C16" s="594">
        <f>B101</f>
        <v>40.084033613445385</v>
      </c>
      <c r="D16" s="595"/>
      <c r="E16" s="595">
        <f>E101</f>
        <v>0</v>
      </c>
      <c r="F16" s="596"/>
      <c r="G16" s="597"/>
      <c r="H16" s="594">
        <f>I101</f>
        <v>0</v>
      </c>
      <c r="I16" s="595">
        <f>G101+F101</f>
        <v>0</v>
      </c>
      <c r="J16" s="595">
        <f>H101+D101+C101</f>
        <v>0</v>
      </c>
      <c r="K16" s="595"/>
      <c r="L16" s="598"/>
      <c r="M16" s="599">
        <f>C16*$C$21+E16*$E$21+H16*$H$21+I16*$I$21+J16*$J$21+D16*$D$21+F16*$F$21+G16*$G$21+K16*$K$21+L16*$L$21</f>
        <v>8.0969747899159685</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34.071428571428577</v>
      </c>
      <c r="C19" s="577">
        <f>SUM(C16:C18)</f>
        <v>40.084033613445385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8.0969747899159685</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71057</v>
      </c>
      <c r="C27" s="839">
        <v>3980</v>
      </c>
      <c r="D27" s="656" t="s">
        <v>894</v>
      </c>
      <c r="E27" s="655" t="s">
        <v>895</v>
      </c>
      <c r="F27" s="655" t="s">
        <v>896</v>
      </c>
      <c r="G27" s="655" t="s">
        <v>897</v>
      </c>
      <c r="H27" s="655" t="s">
        <v>898</v>
      </c>
      <c r="I27" s="655" t="s">
        <v>895</v>
      </c>
      <c r="J27" s="838">
        <v>39072</v>
      </c>
      <c r="K27" s="838">
        <v>39203</v>
      </c>
      <c r="L27" s="655" t="s">
        <v>899</v>
      </c>
      <c r="M27" s="655">
        <v>5.3</v>
      </c>
      <c r="N27" s="655">
        <v>23.85</v>
      </c>
      <c r="O27" s="655">
        <v>34.071428571428577</v>
      </c>
      <c r="P27" s="655">
        <v>68.142857142857153</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5.3</v>
      </c>
      <c r="N57" s="613">
        <f>SUM(N27:N56)</f>
        <v>23.85</v>
      </c>
      <c r="O57" s="613">
        <f t="shared" ref="O57:W57" si="2">SUM(O27:O56)</f>
        <v>34.071428571428577</v>
      </c>
      <c r="P57" s="613">
        <f t="shared" si="2"/>
        <v>68.142857142857153</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5.3</v>
      </c>
      <c r="N59" s="613">
        <f ca="1">SUMIF($Z$27:AB56,"tertiair",N27:N56)</f>
        <v>23.85</v>
      </c>
      <c r="O59" s="613">
        <f ca="1">SUMIF($Z$27:AC56,"tertiair",O27:O56)</f>
        <v>34.071428571428577</v>
      </c>
      <c r="P59" s="613">
        <f ca="1">SUMIF($Z$27:AD56,"tertiair",P27:P56)</f>
        <v>68.142857142857153</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28.058823529411768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40.084033613445385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2018-06-27T09:03:11Z</dcterms:modified>
</cp:coreProperties>
</file>