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<sst xmlns="http://schemas.openxmlformats.org/spreadsheetml/2006/main" count="2047" uniqueCount="906">
  <si>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</si>
  <si>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</si>
  <si>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</si>
  <si>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</si>
  <si>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</si>
  <si>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</si>
  <si>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</si>
  <si>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</si>
  <si>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</si>
  <si>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</si>
  <si>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</si>
  <si>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</si>
  <si>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</si>
  <si>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</si>
  <si>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</si>
  <si>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</si>
  <si>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</si>
  <si>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</si>
  <si>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</si>
  <si>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</si>
  <si>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</si>
  <si>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</si>
  <si>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</si>
  <si>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</si>
  <si>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</si>
  <si>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</si>
  <si>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</si>
  <si>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</si>
  <si>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</si>
  <si>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</si>
  <si>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</si>
  <si>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</si>
  <si>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</si>
  <si>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</si>
  <si>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</si>
  <si>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</si>
  <si>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</si>
  <si>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</si>
  <si>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</si>
  <si>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</si>
  <si>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</si>
  <si>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</si>
  <si>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</si>
  <si>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</si>
  <si>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</si>
  <si>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</si>
  <si>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</si>
  <si>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</si>
  <si>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</si>
  <si>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</si>
  <si>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</si>
  <si>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</si>
  <si>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</si>
  <si>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</si>
  <si>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</si>
  <si>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</si>
  <si>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</si>
  <si>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</si>
  <si>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</si>
  <si>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</si>
  <si>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</si>
  <si>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</si>
  <si>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</si>
  <si>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</si>
  <si>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</si>
  <si>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</si>
  <si>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</si>
  <si>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</si>
  <si>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</si>
  <si>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</si>
  <si>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</si>
  <si>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</si>
  <si>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</si>
  <si>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</si>
  <si>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</si>
  <si>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</si>
  <si>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</si>
  <si>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</si>
  <si>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</si>
  <si>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</si>
  <si>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</si>
  <si>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</si>
  <si>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</si>
  <si>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</si>
  <si>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</si>
  <si>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</si>
  <si>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</si>
  <si>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</si>
  <si>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</si>
  <si>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</si>
  <si>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</si>
  <si>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</si>
  <si>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</si>
  <si>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</si>
  <si>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</si>
  <si>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</si>
  <si>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</si>
  <si>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</si>
  <si>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</si>
  <si>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</si>
  <si>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</si>
  <si>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</si>
  <si>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</si>
  <si>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</si>
  <si>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</si>
  <si>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</si>
  <si>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</si>
  <si>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</si>
  <si>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</si>
  <si>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</si>
  <si>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</si>
  <si>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</si>
  <si>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</si>
  <si>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</si>
  <si>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</si>
  <si>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</si>
  <si>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</si>
  <si>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</si>
  <si>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</si>
  <si>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</si>
  <si>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</si>
  <si>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</si>
  <si>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</si>
  <si>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</si>
  <si>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</si>
  <si>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</si>
  <si>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</si>
  <si>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</si>
  <si>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</si>
  <si>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</si>
  <si>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</si>
  <si>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</si>
  <si>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</si>
  <si>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</si>
  <si>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</si>
  <si>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</si>
  <si>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</si>
  <si>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</si>
  <si>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</si>
  <si>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</si>
  <si>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</si>
  <si>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</si>
  <si>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</si>
  <si>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</si>
  <si>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</si>
  <si>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</si>
  <si>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</si>
  <si>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</si>
  <si>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</si>
  <si>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</si>
  <si>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</si>
  <si>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</si>
  <si>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</si>
  <si>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</si>
  <si>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</si>
  <si>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</si>
  <si>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</si>
  <si>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</si>
  <si>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</si>
  <si>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</si>
  <si>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</si>
  <si>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</si>
  <si>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</si>
  <si>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</si>
  <si>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</si>
  <si>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</si>
  <si>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</si>
  <si>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</si>
  <si>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</si>
  <si>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</si>
  <si>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</si>
  <si>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</si>
  <si>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</si>
  <si>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</si>
  <si>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</si>
  <si>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</si>
  <si>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</si>
  <si>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</si>
  <si>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</si>
  <si>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</si>
  <si>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</si>
  <si>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</si>
  <si>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</si>
  <si>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</si>
  <si>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</si>
  <si>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</si>
  <si>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</si>
  <si>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</si>
  <si>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</si>
  <si>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</si>
  <si>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</si>
  <si>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</si>
  <si>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</si>
  <si>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</si>
  <si>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</si>
  <si>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</si>
  <si>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</si>
  <si>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</si>
  <si>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</si>
  <si>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</si>
  <si>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</si>
  <si>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</si>
  <si>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</si>
  <si>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</si>
  <si>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</si>
  <si>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</si>
  <si>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</si>
  <si>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</si>
  <si>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</si>
  <si>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</si>
  <si>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</si>
  <si>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</si>
  <si>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</si>
  <si>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</si>
  <si>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</si>
  <si>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</si>
  <si>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</si>
  <si>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</si>
  <si>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</si>
  <si>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</si>
  <si>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</si>
  <si>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</si>
  <si>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</si>
  <si>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</si>
  <si>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</si>
  <si>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</si>
  <si>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</si>
  <si>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</si>
  <si>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</si>
  <si>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</si>
  <si>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</si>
  <si>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</si>
  <si>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</si>
  <si>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</si>
  <si>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</si>
  <si>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</si>
  <si>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</si>
  <si>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</si>
  <si>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</si>
  <si>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</si>
  <si>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</si>
  <si>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</si>
  <si>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</si>
  <si>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</si>
  <si>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</si>
  <si>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</si>
  <si>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</si>
  <si>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</si>
  <si>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</si>
  <si>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</si>
  <si>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</si>
  <si>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</si>
  <si>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</si>
  <si>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</si>
  <si>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</si>
  <si>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</si>
  <si>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</si>
  <si>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</si>
  <si>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</si>
  <si>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</si>
  <si>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</si>
  <si>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</si>
  <si>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</si>
  <si>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</si>
  <si>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</si>
  <si>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</si>
  <si>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</si>
  <si>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</si>
  <si>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</si>
  <si>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</si>
  <si>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</si>
  <si>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</si>
  <si>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</si>
  <si>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</si>
  <si>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</si>
  <si>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</si>
  <si>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</si>
  <si>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</si>
  <si>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</si>
  <si>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</si>
  <si>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</si>
  <si>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</si>
  <si>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</si>
  <si>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</si>
  <si>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</si>
  <si>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</si>
  <si>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</si>
  <si>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</si>
  <si>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</si>
  <si>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</si>
  <si>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</si>
  <si>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</si>
  <si>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</si>
  <si>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</si>
  <si>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</si>
  <si>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</si>
  <si>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</si>
  <si>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</si>
  <si>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</si>
  <si>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</si>
  <si>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</si>
  <si>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</si>
  <si>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</si>
  <si>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</si>
  <si>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</si>
  <si>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</si>
  <si>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</si>
  <si>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</si>
  <si>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</si>
  <si>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</si>
  <si>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</si>
  <si>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</si>
  <si>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</si>
  <si>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</si>
  <si>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</si>
  <si>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</si>
  <si>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</si>
  <si>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</si>
  <si>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</si>
  <si>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</si>
  <si>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</si>
  <si>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</si>
  <si>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</si>
  <si>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</si>
  <si>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</si>
  <si>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</si>
  <si>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</si>
  <si>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</si>
  <si>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</si>
  <si>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</si>
  <si>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</si>
  <si>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</si>
  <si>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</si>
  <si>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</si>
  <si>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</si>
  <si>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</si>
  <si>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</si>
  <si>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</si>
  <si>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</si>
  <si>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</si>
  <si>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</si>
  <si>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</si>
  <si>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</si>
  <si>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</si>
  <si>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</si>
  <si>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</si>
  <si>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</si>
  <si>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</si>
  <si>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</si>
  <si>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</si>
  <si>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</si>
  <si>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</si>
  <si>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</si>
  <si>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</si>
  <si>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</si>
  <si>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</si>
  <si>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</si>
  <si>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</si>
  <si>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</si>
  <si>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</si>
  <si>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</si>
  <si>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</si>
  <si>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</si>
  <si>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</si>
  <si>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</si>
  <si>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</si>
  <si>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</si>
  <si>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</si>
  <si>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</si>
  <si>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</si>
  <si>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</si>
  <si>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</si>
  <si>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</si>
  <si>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</si>
  <si>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</si>
  <si>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</si>
  <si>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</si>
  <si>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</si>
  <si>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</si>
  <si>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</si>
  <si>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</si>
  <si>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</si>
  <si>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</si>
  <si>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</si>
  <si>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</si>
  <si>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</si>
  <si>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</si>
  <si>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</si>
  <si>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</si>
  <si>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</si>
  <si>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</si>
  <si>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</si>
  <si>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</si>
  <si>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</si>
  <si>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</si>
  <si>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</si>
  <si>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</si>
  <si>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</si>
  <si>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</si>
  <si>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</si>
  <si>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</si>
  <si>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</si>
  <si>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</si>
  <si>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</si>
  <si>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</si>
  <si>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</si>
  <si>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</si>
  <si>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</si>
  <si>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</si>
  <si>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</si>
  <si>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</si>
  <si>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</si>
  <si>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</si>
  <si>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</si>
  <si>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</si>
  <si>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</si>
  <si>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</si>
  <si>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</si>
  <si>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</si>
  <si>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</si>
  <si>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</si>
  <si>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</si>
  <si>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</si>
  <si>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</si>
  <si>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</si>
  <si>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</si>
  <si>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</si>
  <si>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</si>
  <si>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</si>
  <si>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</si>
  <si>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</si>
  <si>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</si>
  <si>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</si>
  <si>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</si>
  <si>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</si>
  <si>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</si>
  <si>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</si>
  <si>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</si>
  <si>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</si>
  <si>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</si>
  <si>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</si>
  <si>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</si>
  <si>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</si>
  <si>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</si>
  <si>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</si>
  <si>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</si>
  <si>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</si>
  <si>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</si>
  <si>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</si>
  <si>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</si>
  <si>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</si>
  <si>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</si>
  <si>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</si>
  <si>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</si>
  <si>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</si>
  <si>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</si>
  <si>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</si>
  <si>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</si>
  <si>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</si>
  <si>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</si>
  <si>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</si>
  <si>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</si>
  <si>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</si>
  <si>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</si>
  <si>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</si>
  <si>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</si>
  <si>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</si>
  <si>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</si>
  <si>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</si>
  <si>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</si>
  <si>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</si>
  <si>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</si>
  <si>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</si>
  <si>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</si>
  <si>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</si>
  <si>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</si>
  <si>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</si>
  <si>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</si>
  <si>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</si>
  <si>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</si>
  <si>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</si>
  <si>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</si>
  <si>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</si>
  <si>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</si>
  <si>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</si>
  <si>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</si>
  <si>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</si>
  <si>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</si>
  <si>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</si>
  <si>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</si>
  <si>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</si>
  <si>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</si>
  <si>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</si>
  <si>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</si>
  <si>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</si>
  <si>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</si>
  <si>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</si>
  <si>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</si>
  <si>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</si>
  <si>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</si>
  <si>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</si>
  <si>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</si>
  <si>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</si>
  <si>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</si>
  <si>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</si>
  <si>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</si>
  <si>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</si>
  <si>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</si>
  <si>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</si>
  <si>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</si>
  <si>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</si>
  <si>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</si>
  <si>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</si>
  <si>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</si>
  <si>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</si>
  <si>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</si>
  <si>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</si>
  <si>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</si>
  <si>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</si>
  <si>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</si>
  <si>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</si>
  <si>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</si>
  <si>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</si>
  <si>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</si>
  <si>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</si>
  <si>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</si>
  <si>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</si>
  <si>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</si>
  <si>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</si>
  <si>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</si>
  <si>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</si>
  <si>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</si>
  <si>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</si>
  <si>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</si>
  <si>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</si>
  <si>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</si>
  <si>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</si>
  <si>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</si>
  <si>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</si>
  <si>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</si>
  <si>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</si>
  <si>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</si>
  <si>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</si>
  <si>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</si>
  <si>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</si>
  <si>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</si>
  <si>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</si>
  <si>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</si>
  <si>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</si>
  <si>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</si>
  <si>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</si>
  <si>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</si>
  <si>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</si>
  <si>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</si>
  <si>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</si>
  <si>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</si>
  <si>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</si>
  <si>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</si>
  <si>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</si>
  <si>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</si>
  <si>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</si>
  <si>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</si>
  <si>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</si>
  <si>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</si>
  <si>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</si>
  <si>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</si>
  <si>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</si>
  <si>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</si>
  <si>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</si>
  <si>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</si>
  <si>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</si>
  <si>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</si>
  <si>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</si>
  <si>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</si>
  <si>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</si>
  <si>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</si>
  <si>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</si>
  <si>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</si>
  <si>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</si>
  <si>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</si>
  <si>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</si>
  <si>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</si>
  <si>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</si>
  <si>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</si>
  <si>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</si>
  <si>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</si>
  <si>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</si>
  <si>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</si>
  <si>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</si>
  <si>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</si>
  <si>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</si>
  <si>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</si>
  <si>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</si>
  <si>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</si>
  <si>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</si>
  <si>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</si>
  <si>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</si>
  <si>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</si>
  <si>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</si>
  <si>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</si>
  <si>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</si>
  <si>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</si>
  <si>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</si>
  <si>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</si>
  <si>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</si>
  <si>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</si>
  <si>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</si>
  <si>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</si>
  <si>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</si>
  <si>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</si>
  <si>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</si>
  <si>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</si>
  <si>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</si>
  <si>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</si>
  <si>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</si>
  <si>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</si>
  <si>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</si>
  <si>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</si>
  <si>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</si>
  <si>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</si>
  <si>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</si>
  <si>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</si>
  <si>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</si>
  <si>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</si>
  <si>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</si>
  <si>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</si>
  <si>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</si>
  <si>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</si>
  <si>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</si>
  <si>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</si>
  <si>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</si>
  <si>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</si>
  <si>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</si>
  <si>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</si>
  <si>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</si>
  <si>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</si>
  <si>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</si>
  <si>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</si>
  <si>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</si>
  <si>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</si>
  <si>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</si>
  <si>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</si>
  <si>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</si>
  <si>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</si>
  <si>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</si>
  <si>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</si>
  <si>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</si>
  <si>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</si>
  <si>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</si>
  <si>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</si>
  <si>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</si>
  <si>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</si>
  <si>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</si>
  <si>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</si>
  <si>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</si>
  <si>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</si>
  <si>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</si>
  <si>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</si>
  <si>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</si>
  <si>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</si>
  <si>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</si>
  <si>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</si>
  <si>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</si>
  <si>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</si>
  <si>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</si>
  <si>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</si>
  <si>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</si>
  <si>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</si>
  <si>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</si>
  <si>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</si>
  <si>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</si>
  <si>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</si>
  <si>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</si>
  <si>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</si>
  <si>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</si>
  <si>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</si>
  <si>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</si>
  <si>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</si>
  <si>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</si>
  <si>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</si>
  <si>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</si>
  <si>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</si>
  <si>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</si>
  <si>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</si>
  <si>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</si>
  <si>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</si>
  <si>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</si>
  <si>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</si>
  <si>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</si>
  <si>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</si>
  <si>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</si>
  <si>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</si>
  <si>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</si>
  <si>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</si>
  <si>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</si>
  <si>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</si>
  <si>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</si>
  <si>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</si>
  <si>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</si>
  <si>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</si>
  <si>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</si>
  <si>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</si>
  <si>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</si>
  <si>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</si>
  <si>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</si>
  <si>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</si>
  <si>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</si>
  <si>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</si>
  <si>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</si>
  <si>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</si>
  <si>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</si>
  <si>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</si>
  <si>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</si>
  <si>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</si>
  <si>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</si>
  <si>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</si>
  <si>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</si>
  <si>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</si>
  <si>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</si>
  <si>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</si>
  <si>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</si>
  <si>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</si>
  <si>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</si>
  <si>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</si>
  <si>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</si>
  <si>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</si>
  <si>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</si>
  <si>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</si>
  <si>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</si>
  <si>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</si>
  <si>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</si>
  <si>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</si>
  <si>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</si>
  <si>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</si>
  <si>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</si>
  <si>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</si>
  <si>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</si>
  <si>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</si>
  <si>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</si>
  <si>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</si>
  <si>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</si>
  <si>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</si>
  <si>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</si>
  <si>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</si>
  <si>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</si>
  <si>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</si>
  <si>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</si>
  <si>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</si>
  <si>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</si>
  <si>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</si>
  <si>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</si>
  <si>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</si>
  <si>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</si>
  <si>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</si>
  <si>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</si>
  <si>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</si>
  <si>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</si>
  <si>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</si>
  <si>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</si>
  <si>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</si>
  <si>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</si>
  <si>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</si>
  <si>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</si>
  <si>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</si>
  <si>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</si>
  <si>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</si>
  <si>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</si>
  <si>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</si>
  <si>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</si>
  <si>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</si>
  <si>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</si>
  <si>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</si>
  <si>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</si>
  <si>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</si>
  <si>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</si>
  <si>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</si>
  <si>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</si>
  <si>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</si>
  <si>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</si>
  <si>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</si>
  <si>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</si>
  <si>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</si>
  <si>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</si>
  <si>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</si>
  <si>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</si>
  <si>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</si>
  <si>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</si>
  <si>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</si>
  <si>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</si>
  <si>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</si>
  <si>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</si>
  <si>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</si>
  <si>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</si>
  <si>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</si>
  <si>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</si>
  <si>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</si>
  <si>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</si>
  <si>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</si>
  <si>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</si>
  <si>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</si>
  <si>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</si>
  <si>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</si>
  <si>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</si>
  <si>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</si>
  <si>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</si>
  <si>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</si>
  <si>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</si>
  <si>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</si>
  <si>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</si>
  <si>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</si>
  <si>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</si>
  <si>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</si>
  <si>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</si>
  <si>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</si>
  <si>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</si>
  <si>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</si>
  <si>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</si>
  <si>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</si>
  <si>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</si>
  <si>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</si>
  <si>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</si>
  <si>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</si>
  <si>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</si>
  <si>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</si>
  <si>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</si>
  <si>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</si>
  <si>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</si>
  <si>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</si>
  <si>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</si>
  <si>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</si>
  <si>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</si>
  <si>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</si>
  <si>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</si>
  <si>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</si>
  <si>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</si>
  <si>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</si>
  <si>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</si>
  <si>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</si>
  <si>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</si>
  <si>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</si>
  <si>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</si>
  <si>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</si>
  <si>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</si>
  <si>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</si>
  <si>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</si>
  <si>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</si>
  <si>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</si>
  <si>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</si>
  <si>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</si>
  <si>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</si>
  <si>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</si>
  <si>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</si>
  <si>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</si>
  <si>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</si>
  <si>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</si>
  <si>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</si>
  <si>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</si>
  <si>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</si>
  <si>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</si>
  <si>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</si>
  <si>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</si>
  <si>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</si>
  <si>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</si>
  <si>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</si>
  <si>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</si>
  <si>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</si>
  <si>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</si>
  <si>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</si>
  <si>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</si>
  <si>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</si>
  <si>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</si>
  <si>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</si>
  <si>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</si>
  <si>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</si>
  <si>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</si>
  <si>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</si>
  <si>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</si>
  <si>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</si>
  <si>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</si>
  <si>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</si>
  <si>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</si>
  <si>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</si>
  <si>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</si>
  <si>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</si>
  <si>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</si>
  <si>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71053</t>
  </si>
  <si>
    <t>SINT-TRUIDEN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</si>
  <si>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</si>
  <si>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</si>
  <si>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</si>
  <si>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</si>
  <si>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</si>
  <si>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</si>
  <si>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</si>
  <si>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</si>
  <si>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</si>
  <si>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</si>
  <si>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</si>
  <si>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</si>
  <si>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</si>
  <si>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</si>
  <si>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</si>
  <si>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RWZI Sint-Truiden</t>
  </si>
  <si>
    <t>biogas - RWZI</t>
  </si>
  <si>
    <t>niet WKK interne verbrandingsmotor (gas)</t>
  </si>
  <si>
    <t>Grazenweg 13,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</si>
</sst>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71053</v>
      </c>
      <c r="B6" s="396"/>
      <c r="C6" s="397"/>
    </row>
    <row r="7" spans="1:7" s="394" customFormat="1" ht="15.75" customHeight="1">
      <c r="A7" s="398" t="str">
        <f>txtMunicipality</f>
        <v>SINT-TRUIDEN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16953</v>
      </c>
      <c r="C9" s="336">
        <v>18529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6145</v>
      </c>
    </row>
    <row r="15" spans="1:6">
      <c r="A15" s="1194" t="s">
        <v>185</v>
      </c>
      <c r="B15" s="333">
        <v>4</v>
      </c>
    </row>
    <row r="16" spans="1:6">
      <c r="A16" s="1194" t="s">
        <v>6</v>
      </c>
      <c r="B16" s="333">
        <v>137</v>
      </c>
    </row>
    <row r="17" spans="1:6">
      <c r="A17" s="1194" t="s">
        <v>7</v>
      </c>
      <c r="B17" s="333">
        <v>1035</v>
      </c>
    </row>
    <row r="18" spans="1:6">
      <c r="A18" s="1194" t="s">
        <v>8</v>
      </c>
      <c r="B18" s="333">
        <v>1007</v>
      </c>
    </row>
    <row r="19" spans="1:6">
      <c r="A19" s="1194" t="s">
        <v>9</v>
      </c>
      <c r="B19" s="333">
        <v>750</v>
      </c>
    </row>
    <row r="20" spans="1:6">
      <c r="A20" s="1194" t="s">
        <v>10</v>
      </c>
      <c r="B20" s="333">
        <v>604</v>
      </c>
    </row>
    <row r="21" spans="1:6">
      <c r="A21" s="1194" t="s">
        <v>11</v>
      </c>
      <c r="B21" s="333">
        <v>2179</v>
      </c>
    </row>
    <row r="22" spans="1:6">
      <c r="A22" s="1194" t="s">
        <v>12</v>
      </c>
      <c r="B22" s="333">
        <v>6470</v>
      </c>
    </row>
    <row r="23" spans="1:6">
      <c r="A23" s="1194" t="s">
        <v>13</v>
      </c>
      <c r="B23" s="333">
        <v>42</v>
      </c>
    </row>
    <row r="24" spans="1:6">
      <c r="A24" s="1194" t="s">
        <v>14</v>
      </c>
      <c r="B24" s="333">
        <v>9</v>
      </c>
    </row>
    <row r="25" spans="1:6">
      <c r="A25" s="1194" t="s">
        <v>15</v>
      </c>
      <c r="B25" s="333">
        <v>433</v>
      </c>
    </row>
    <row r="26" spans="1:6">
      <c r="A26" s="1194" t="s">
        <v>16</v>
      </c>
      <c r="B26" s="333">
        <v>1077</v>
      </c>
    </row>
    <row r="27" spans="1:6">
      <c r="A27" s="1194" t="s">
        <v>17</v>
      </c>
      <c r="B27" s="333">
        <v>2</v>
      </c>
    </row>
    <row r="28" spans="1:6">
      <c r="A28" s="1194" t="s">
        <v>18</v>
      </c>
      <c r="B28" s="333">
        <v>93872</v>
      </c>
    </row>
    <row r="29" spans="1:6">
      <c r="A29" s="1194" t="s">
        <v>888</v>
      </c>
      <c r="B29" s="333">
        <v>142</v>
      </c>
    </row>
    <row r="30" spans="1:6">
      <c r="A30" s="1190" t="s">
        <v>889</v>
      </c>
      <c r="B30" s="1190">
        <v>27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12</v>
      </c>
      <c r="F36" s="333">
        <v>75567</v>
      </c>
    </row>
    <row r="37" spans="1:6">
      <c r="A37" s="1194" t="s">
        <v>25</v>
      </c>
      <c r="B37" s="1194" t="s">
        <v>28</v>
      </c>
      <c r="C37" s="333">
        <v>0</v>
      </c>
      <c r="D37" s="333">
        <v>0</v>
      </c>
      <c r="E37" s="333">
        <v>0</v>
      </c>
      <c r="F37" s="333">
        <v>0</v>
      </c>
    </row>
    <row r="38" spans="1:6">
      <c r="A38" s="1194" t="s">
        <v>25</v>
      </c>
      <c r="B38" s="1194" t="s">
        <v>29</v>
      </c>
      <c r="C38" s="333">
        <v>0</v>
      </c>
      <c r="D38" s="333">
        <v>0</v>
      </c>
      <c r="E38" s="333">
        <v>1</v>
      </c>
      <c r="F38" s="333">
        <v>16316</v>
      </c>
    </row>
    <row r="39" spans="1:6">
      <c r="A39" s="1194" t="s">
        <v>30</v>
      </c>
      <c r="B39" s="1194" t="s">
        <v>31</v>
      </c>
      <c r="C39" s="333">
        <v>9865</v>
      </c>
      <c r="D39" s="333">
        <v>165303809</v>
      </c>
      <c r="E39" s="333">
        <v>17224</v>
      </c>
      <c r="F39" s="333">
        <v>67040955</v>
      </c>
    </row>
    <row r="40" spans="1:6">
      <c r="A40" s="1194" t="s">
        <v>30</v>
      </c>
      <c r="B40" s="1194" t="s">
        <v>29</v>
      </c>
      <c r="C40" s="333">
        <v>0</v>
      </c>
      <c r="D40" s="333">
        <v>0</v>
      </c>
      <c r="E40" s="333">
        <v>1</v>
      </c>
      <c r="F40" s="333">
        <v>5289</v>
      </c>
    </row>
    <row r="41" spans="1:6">
      <c r="A41" s="1194" t="s">
        <v>32</v>
      </c>
      <c r="B41" s="1194" t="s">
        <v>33</v>
      </c>
      <c r="C41" s="333">
        <v>62</v>
      </c>
      <c r="D41" s="333">
        <v>3025724</v>
      </c>
      <c r="E41" s="333">
        <v>172</v>
      </c>
      <c r="F41" s="333">
        <v>3605006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15</v>
      </c>
      <c r="D44" s="333">
        <v>49988513</v>
      </c>
      <c r="E44" s="333">
        <v>33</v>
      </c>
      <c r="F44" s="333">
        <v>69333937</v>
      </c>
    </row>
    <row r="45" spans="1:6">
      <c r="A45" s="1194" t="s">
        <v>32</v>
      </c>
      <c r="B45" s="1194" t="s">
        <v>37</v>
      </c>
      <c r="C45" s="333">
        <v>0</v>
      </c>
      <c r="D45" s="333">
        <v>0</v>
      </c>
      <c r="E45" s="333">
        <v>8</v>
      </c>
      <c r="F45" s="333">
        <v>740487</v>
      </c>
    </row>
    <row r="46" spans="1:6">
      <c r="A46" s="1194" t="s">
        <v>32</v>
      </c>
      <c r="B46" s="1194" t="s">
        <v>38</v>
      </c>
      <c r="C46" s="333">
        <v>0</v>
      </c>
      <c r="D46" s="333">
        <v>0</v>
      </c>
      <c r="E46" s="333">
        <v>0</v>
      </c>
      <c r="F46" s="333">
        <v>0</v>
      </c>
    </row>
    <row r="47" spans="1:6">
      <c r="A47" s="1194" t="s">
        <v>32</v>
      </c>
      <c r="B47" s="1194" t="s">
        <v>39</v>
      </c>
      <c r="C47" s="333">
        <v>5</v>
      </c>
      <c r="D47" s="333">
        <v>148211</v>
      </c>
      <c r="E47" s="333">
        <v>7</v>
      </c>
      <c r="F47" s="333">
        <v>128171</v>
      </c>
    </row>
    <row r="48" spans="1:6">
      <c r="A48" s="1194" t="s">
        <v>32</v>
      </c>
      <c r="B48" s="1194" t="s">
        <v>29</v>
      </c>
      <c r="C48" s="333">
        <v>2</v>
      </c>
      <c r="D48" s="333">
        <v>67023</v>
      </c>
      <c r="E48" s="333">
        <v>3</v>
      </c>
      <c r="F48" s="333">
        <v>22942</v>
      </c>
    </row>
    <row r="49" spans="1:6">
      <c r="A49" s="1194" t="s">
        <v>32</v>
      </c>
      <c r="B49" s="1194" t="s">
        <v>40</v>
      </c>
      <c r="C49" s="333">
        <v>4</v>
      </c>
      <c r="D49" s="333">
        <v>265969</v>
      </c>
      <c r="E49" s="333">
        <v>7</v>
      </c>
      <c r="F49" s="333">
        <v>271440</v>
      </c>
    </row>
    <row r="50" spans="1:6">
      <c r="A50" s="1194" t="s">
        <v>32</v>
      </c>
      <c r="B50" s="1194" t="s">
        <v>41</v>
      </c>
      <c r="C50" s="333">
        <v>26</v>
      </c>
      <c r="D50" s="333">
        <v>48164358</v>
      </c>
      <c r="E50" s="333">
        <v>42</v>
      </c>
      <c r="F50" s="333">
        <v>12493229</v>
      </c>
    </row>
    <row r="51" spans="1:6">
      <c r="A51" s="1194" t="s">
        <v>42</v>
      </c>
      <c r="B51" s="1194" t="s">
        <v>43</v>
      </c>
      <c r="C51" s="333">
        <v>26</v>
      </c>
      <c r="D51" s="333">
        <v>2383444</v>
      </c>
      <c r="E51" s="333">
        <v>195</v>
      </c>
      <c r="F51" s="333">
        <v>8741237</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184</v>
      </c>
      <c r="F54" s="333">
        <v>2435783</v>
      </c>
    </row>
    <row r="55" spans="1:6">
      <c r="A55" s="1194" t="s">
        <v>46</v>
      </c>
      <c r="B55" s="1194" t="s">
        <v>29</v>
      </c>
      <c r="C55" s="333">
        <v>0</v>
      </c>
      <c r="D55" s="333">
        <v>0</v>
      </c>
      <c r="E55" s="333">
        <v>0</v>
      </c>
      <c r="F55" s="333">
        <v>0</v>
      </c>
    </row>
    <row r="56" spans="1:6">
      <c r="A56" s="1194" t="s">
        <v>48</v>
      </c>
      <c r="B56" s="1194" t="s">
        <v>29</v>
      </c>
      <c r="C56" s="333">
        <v>144</v>
      </c>
      <c r="D56" s="333">
        <v>16805910</v>
      </c>
      <c r="E56" s="333">
        <v>488</v>
      </c>
      <c r="F56" s="333">
        <v>9103147</v>
      </c>
    </row>
    <row r="57" spans="1:6">
      <c r="A57" s="1194" t="s">
        <v>49</v>
      </c>
      <c r="B57" s="1194" t="s">
        <v>50</v>
      </c>
      <c r="C57" s="333">
        <v>104</v>
      </c>
      <c r="D57" s="333">
        <v>8376880</v>
      </c>
      <c r="E57" s="333">
        <v>192</v>
      </c>
      <c r="F57" s="333">
        <v>6202295</v>
      </c>
    </row>
    <row r="58" spans="1:6">
      <c r="A58" s="1194" t="s">
        <v>49</v>
      </c>
      <c r="B58" s="1194" t="s">
        <v>51</v>
      </c>
      <c r="C58" s="333">
        <v>75</v>
      </c>
      <c r="D58" s="333">
        <v>19518425</v>
      </c>
      <c r="E58" s="333">
        <v>112</v>
      </c>
      <c r="F58" s="333">
        <v>10644624</v>
      </c>
    </row>
    <row r="59" spans="1:6">
      <c r="A59" s="1194" t="s">
        <v>49</v>
      </c>
      <c r="B59" s="1194" t="s">
        <v>52</v>
      </c>
      <c r="C59" s="333">
        <v>318</v>
      </c>
      <c r="D59" s="333">
        <v>15527665</v>
      </c>
      <c r="E59" s="333">
        <v>628</v>
      </c>
      <c r="F59" s="333">
        <v>36429549</v>
      </c>
    </row>
    <row r="60" spans="1:6">
      <c r="A60" s="1194" t="s">
        <v>49</v>
      </c>
      <c r="B60" s="1194" t="s">
        <v>53</v>
      </c>
      <c r="C60" s="333">
        <v>111</v>
      </c>
      <c r="D60" s="333">
        <v>7202169</v>
      </c>
      <c r="E60" s="333">
        <v>201</v>
      </c>
      <c r="F60" s="333">
        <v>6638420</v>
      </c>
    </row>
    <row r="61" spans="1:6">
      <c r="A61" s="1194" t="s">
        <v>49</v>
      </c>
      <c r="B61" s="1194" t="s">
        <v>54</v>
      </c>
      <c r="C61" s="333">
        <v>242</v>
      </c>
      <c r="D61" s="333">
        <v>22936052</v>
      </c>
      <c r="E61" s="333">
        <v>748</v>
      </c>
      <c r="F61" s="333">
        <v>25794482</v>
      </c>
    </row>
    <row r="62" spans="1:6">
      <c r="A62" s="1194" t="s">
        <v>49</v>
      </c>
      <c r="B62" s="1194" t="s">
        <v>55</v>
      </c>
      <c r="C62" s="333">
        <v>34</v>
      </c>
      <c r="D62" s="333">
        <v>4843850</v>
      </c>
      <c r="E62" s="333">
        <v>42</v>
      </c>
      <c r="F62" s="333">
        <v>1550965</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384565</v>
      </c>
      <c r="E68" s="333">
        <v>36</v>
      </c>
      <c r="F68" s="333">
        <v>1228289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264504439</v>
      </c>
      <c r="E73" s="333">
        <v>201548004.62065986</v>
      </c>
      <c r="F73" s="333">
        <v>237462979</v>
      </c>
    </row>
    <row r="74" spans="1:6">
      <c r="A74" s="1194" t="s">
        <v>64</v>
      </c>
      <c r="B74" s="1194" t="s">
        <v>775</v>
      </c>
      <c r="C74" s="1205" t="s">
        <v>776</v>
      </c>
      <c r="D74" s="333">
        <v>28486337.334361412</v>
      </c>
      <c r="E74" s="333">
        <v>17534596.83379944</v>
      </c>
      <c r="F74" s="333">
        <v>20004841.832390428</v>
      </c>
    </row>
    <row r="75" spans="1:6">
      <c r="A75" s="1194" t="s">
        <v>65</v>
      </c>
      <c r="B75" s="1194" t="s">
        <v>773</v>
      </c>
      <c r="C75" s="1205" t="s">
        <v>777</v>
      </c>
      <c r="D75" s="333">
        <v>84604239</v>
      </c>
      <c r="E75" s="333">
        <v>73746849.095485121</v>
      </c>
      <c r="F75" s="333">
        <v>79729154</v>
      </c>
    </row>
    <row r="76" spans="1:6">
      <c r="A76" s="1194" t="s">
        <v>65</v>
      </c>
      <c r="B76" s="1194" t="s">
        <v>775</v>
      </c>
      <c r="C76" s="1205" t="s">
        <v>778</v>
      </c>
      <c r="D76" s="333">
        <v>1487632.3343614112</v>
      </c>
      <c r="E76" s="333">
        <v>822502.10102961864</v>
      </c>
      <c r="F76" s="333">
        <v>1044082.8323904286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1694969.3312771774</v>
      </c>
      <c r="C83" s="333">
        <v>1549853.9494049749</v>
      </c>
      <c r="D83" s="333">
        <v>1576732.3352191427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2872.4246369475713</v>
      </c>
    </row>
    <row r="92" spans="1:6">
      <c r="A92" s="1190" t="s">
        <v>69</v>
      </c>
      <c r="B92" s="336">
        <v>7929.5664747391929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6223</v>
      </c>
    </row>
    <row r="98" spans="1:6">
      <c r="A98" s="1194" t="s">
        <v>72</v>
      </c>
      <c r="B98" s="333">
        <v>8</v>
      </c>
    </row>
    <row r="99" spans="1:6">
      <c r="A99" s="1194" t="s">
        <v>73</v>
      </c>
      <c r="B99" s="333">
        <v>93</v>
      </c>
    </row>
    <row r="100" spans="1:6">
      <c r="A100" s="1194" t="s">
        <v>74</v>
      </c>
      <c r="B100" s="333">
        <v>422</v>
      </c>
    </row>
    <row r="101" spans="1:6">
      <c r="A101" s="1194" t="s">
        <v>75</v>
      </c>
      <c r="B101" s="333">
        <v>99</v>
      </c>
    </row>
    <row r="102" spans="1:6">
      <c r="A102" s="1194" t="s">
        <v>76</v>
      </c>
      <c r="B102" s="333">
        <v>212</v>
      </c>
    </row>
    <row r="103" spans="1:6">
      <c r="A103" s="1194" t="s">
        <v>77</v>
      </c>
      <c r="B103" s="333">
        <v>294</v>
      </c>
    </row>
    <row r="104" spans="1:6">
      <c r="A104" s="1194" t="s">
        <v>78</v>
      </c>
      <c r="B104" s="333">
        <v>7679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10</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50</v>
      </c>
    </row>
    <row r="130" spans="1:6">
      <c r="A130" s="1194" t="s">
        <v>296</v>
      </c>
      <c r="B130" s="333">
        <v>0</v>
      </c>
    </row>
    <row r="131" spans="1:6">
      <c r="A131" s="1194" t="s">
        <v>297</v>
      </c>
      <c r="B131" s="333">
        <v>2</v>
      </c>
    </row>
    <row r="132" spans="1:6">
      <c r="A132" s="1190" t="s">
        <v>298</v>
      </c>
      <c r="B132" s="336">
        <v>18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255787.87293051841</v>
      </c>
      <c r="C3" s="43" t="s">
        <v>171</v>
      </c>
      <c r="D3" s="43"/>
      <c r="E3" s="156"/>
      <c r="F3" s="43"/>
      <c r="G3" s="43"/>
      <c r="H3" s="43"/>
      <c r="I3" s="43"/>
      <c r="J3" s="43"/>
      <c r="K3" s="96"/>
    </row>
    <row r="4" spans="1:11">
      <c r="A4" s="364" t="s">
        <v>172</v>
      </c>
      <c r="B4" s="49">
        <f>IF(ISERROR('SEAP template'!B69),0,'SEAP template'!B69)</f>
        <v>11635.841111686765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122.53931092436976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0.21142573228081205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8.0969747899159685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34.071428571428577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2435.7829999999999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2435.7829999999999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0.21142573228081205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514.98720445215315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67046.244000000006</v>
      </c>
      <c r="C5" s="17">
        <f>IF(ISERROR('Eigen informatie GS &amp; warmtenet'!B57),0,'Eigen informatie GS &amp; warmtenet'!B57)</f>
        <v>0</v>
      </c>
      <c r="D5" s="30">
        <f>(SUM(HH_hh_gas_kWh,HH_rest_gas_kWh)/1000)*0.902</f>
        <v>149104.035718</v>
      </c>
      <c r="E5" s="17">
        <f>B46*B57</f>
        <v>8289.9970544845801</v>
      </c>
      <c r="F5" s="17">
        <f>B51*B62</f>
        <v>100356.6283138305</v>
      </c>
      <c r="G5" s="18"/>
      <c r="H5" s="17"/>
      <c r="I5" s="17"/>
      <c r="J5" s="17">
        <f>B50*B61+C50*C61</f>
        <v>0</v>
      </c>
      <c r="K5" s="17"/>
      <c r="L5" s="17"/>
      <c r="M5" s="17"/>
      <c r="N5" s="17">
        <f>B48*B59+C48*C59</f>
        <v>25533.275028060165</v>
      </c>
      <c r="O5" s="17">
        <f>B69*B70*B71</f>
        <v>95.36333333333333</v>
      </c>
      <c r="P5" s="17">
        <f>B77*B78*B79/1000-B77*B78*B79/1000/B80</f>
        <v>495.73333333333335</v>
      </c>
    </row>
    <row r="6" spans="1:16">
      <c r="A6" s="16" t="s">
        <v>633</v>
      </c>
      <c r="B6" s="830">
        <f>kWh_PV_kleiner_dan_10kW</f>
        <v>2872.4246369475713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69918.668636947579</v>
      </c>
      <c r="C8" s="21">
        <f>C5</f>
        <v>0</v>
      </c>
      <c r="D8" s="21">
        <f>D5</f>
        <v>149104.035718</v>
      </c>
      <c r="E8" s="21">
        <f>E5</f>
        <v>8289.9970544845801</v>
      </c>
      <c r="F8" s="21">
        <f>F5</f>
        <v>100356.6283138305</v>
      </c>
      <c r="G8" s="21"/>
      <c r="H8" s="21"/>
      <c r="I8" s="21"/>
      <c r="J8" s="21">
        <f>J5</f>
        <v>0</v>
      </c>
      <c r="K8" s="21"/>
      <c r="L8" s="21">
        <f>L5</f>
        <v>0</v>
      </c>
      <c r="M8" s="21">
        <f>M5</f>
        <v>0</v>
      </c>
      <c r="N8" s="21">
        <f>N5</f>
        <v>25533.275028060165</v>
      </c>
      <c r="O8" s="21">
        <f>O5</f>
        <v>95.36333333333333</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0.21142573228081205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14782.605716666088</v>
      </c>
      <c r="C12" s="23">
        <f ca="1">C10*C8</f>
        <v>0</v>
      </c>
      <c r="D12" s="23">
        <f>D8*D10</f>
        <v>30119.015215036001</v>
      </c>
      <c r="E12" s="23">
        <f>E10*E8</f>
        <v>1881.8293313679997</v>
      </c>
      <c r="F12" s="23">
        <f>F10*F8</f>
        <v>26795.219759792744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6223</v>
      </c>
      <c r="C18" s="167" t="s">
        <v>111</v>
      </c>
      <c r="D18" s="229"/>
      <c r="E18" s="15"/>
    </row>
    <row r="19" spans="1:7">
      <c r="A19" s="172" t="s">
        <v>72</v>
      </c>
      <c r="B19" s="37">
        <f>aantalw2001_ander</f>
        <v>8</v>
      </c>
      <c r="C19" s="167" t="s">
        <v>111</v>
      </c>
      <c r="D19" s="230"/>
      <c r="E19" s="15"/>
    </row>
    <row r="20" spans="1:7">
      <c r="A20" s="172" t="s">
        <v>73</v>
      </c>
      <c r="B20" s="37">
        <f>aantalw2001_propaan</f>
        <v>93</v>
      </c>
      <c r="C20" s="168">
        <f>IF(ISERROR(B20/SUM($B$20,$B$21,$B$22)*100),0,B20/SUM($B$20,$B$21,$B$22)*100)</f>
        <v>15.146579804560261</v>
      </c>
      <c r="D20" s="230"/>
      <c r="E20" s="15"/>
    </row>
    <row r="21" spans="1:7">
      <c r="A21" s="172" t="s">
        <v>74</v>
      </c>
      <c r="B21" s="37">
        <f>aantalw2001_elektriciteit</f>
        <v>422</v>
      </c>
      <c r="C21" s="168">
        <f>IF(ISERROR(B21/SUM($B$20,$B$21,$B$22)*100),0,B21/SUM($B$20,$B$21,$B$22)*100)</f>
        <v>68.729641693811075</v>
      </c>
      <c r="D21" s="230"/>
      <c r="E21" s="15"/>
    </row>
    <row r="22" spans="1:7">
      <c r="A22" s="172" t="s">
        <v>75</v>
      </c>
      <c r="B22" s="37">
        <f>aantalw2001_hout</f>
        <v>99</v>
      </c>
      <c r="C22" s="168">
        <f>IF(ISERROR(B22/SUM($B$20,$B$21,$B$22)*100),0,B22/SUM($B$20,$B$21,$B$22)*100)</f>
        <v>16.123778501628664</v>
      </c>
      <c r="D22" s="230"/>
      <c r="E22" s="15"/>
    </row>
    <row r="23" spans="1:7">
      <c r="A23" s="172" t="s">
        <v>76</v>
      </c>
      <c r="B23" s="37">
        <f>aantalw2001_niet_gespec</f>
        <v>212</v>
      </c>
      <c r="C23" s="167" t="s">
        <v>111</v>
      </c>
      <c r="D23" s="229"/>
      <c r="E23" s="15"/>
    </row>
    <row r="24" spans="1:7">
      <c r="A24" s="172" t="s">
        <v>77</v>
      </c>
      <c r="B24" s="37">
        <f>aantalw2001_steenkool</f>
        <v>294</v>
      </c>
      <c r="C24" s="167" t="s">
        <v>111</v>
      </c>
      <c r="D24" s="230"/>
      <c r="E24" s="15"/>
    </row>
    <row r="25" spans="1:7">
      <c r="A25" s="172" t="s">
        <v>78</v>
      </c>
      <c r="B25" s="37">
        <f>aantalw2001_stookolie</f>
        <v>7679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16953</v>
      </c>
      <c r="C28" s="36"/>
      <c r="D28" s="229"/>
    </row>
    <row r="29" spans="1:7" s="15" customFormat="1">
      <c r="A29" s="231" t="s">
        <v>714</v>
      </c>
      <c r="B29" s="37">
        <f>SUM(HH_hh_gas_aantal,HH_rest_gas_aantal)</f>
        <v>9865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9865</v>
      </c>
      <c r="C32" s="168">
        <f>IF(ISERROR(B32/SUM($B$32,$B$34,$B$35,$B$36,$B$38,$B$39)*100),0,B32/SUM($B$32,$B$34,$B$35,$B$36,$B$38,$B$39)*100)</f>
        <v>58.279671530690614</v>
      </c>
      <c r="D32" s="234"/>
      <c r="G32" s="15"/>
    </row>
    <row r="33" spans="1:7">
      <c r="A33" s="172" t="s">
        <v>72</v>
      </c>
      <c r="B33" s="34" t="s">
        <v>111</v>
      </c>
      <c r="C33" s="168"/>
      <c r="D33" s="234"/>
      <c r="G33" s="15"/>
    </row>
    <row r="34" spans="1:7">
      <c r="A34" s="172" t="s">
        <v>73</v>
      </c>
      <c r="B34" s="33">
        <f>IF((($B$28-$B$32-$B$39-$B$77-$B$38)*C20/100)&lt;0,0,($B$28-$B$32-$B$39-$B$77-$B$38)*C20/100)</f>
        <v>403.0201954397395</v>
      </c>
      <c r="C34" s="168">
        <f>IF(ISERROR(B34/SUM($B$32,$B$34,$B$35,$B$36,$B$38,$B$39)*100),0,B34/SUM($B$32,$B$34,$B$35,$B$36,$B$38,$B$39)*100)</f>
        <v>2.3809310299506081</v>
      </c>
      <c r="D34" s="234"/>
      <c r="G34" s="15"/>
    </row>
    <row r="35" spans="1:7">
      <c r="A35" s="172" t="s">
        <v>74</v>
      </c>
      <c r="B35" s="33">
        <f>IF((($B$28-$B$32-$B$39-$B$77-$B$38)*C21/100)&lt;0,0,($B$28-$B$32-$B$39-$B$77-$B$38)*C21/100)</f>
        <v>1828.7583061889254</v>
      </c>
      <c r="C35" s="168">
        <f>IF(ISERROR(B35/SUM($B$32,$B$34,$B$35,$B$36,$B$38,$B$39)*100),0,B35/SUM($B$32,$B$34,$B$35,$B$36,$B$38,$B$39)*100)</f>
        <v>10.803794566012439</v>
      </c>
      <c r="D35" s="234"/>
      <c r="G35" s="15"/>
    </row>
    <row r="36" spans="1:7">
      <c r="A36" s="172" t="s">
        <v>75</v>
      </c>
      <c r="B36" s="33">
        <f>IF((($B$28-$B$32-$B$39-$B$77-$B$38)*C22/100)&lt;0,0,($B$28-$B$32-$B$39-$B$77-$B$38)*C22/100)</f>
        <v>429.02149837133555</v>
      </c>
      <c r="C36" s="168">
        <f>IF(ISERROR(B36/SUM($B$32,$B$34,$B$35,$B$36,$B$38,$B$39)*100),0,B36/SUM($B$32,$B$34,$B$35,$B$36,$B$38,$B$39)*100)</f>
        <v>2.5345394834958088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4401.2</v>
      </c>
      <c r="C39" s="168">
        <f>IF(ISERROR(B39/SUM($B$32,$B$34,$B$35,$B$36,$B$38,$B$39)*100),0,B39/SUM($B$32,$B$34,$B$35,$B$36,$B$38,$B$39)*100)</f>
        <v>26.001063389850533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9865</v>
      </c>
      <c r="C44" s="34" t="s">
        <v>111</v>
      </c>
      <c r="D44" s="175"/>
    </row>
    <row r="45" spans="1:7">
      <c r="A45" s="172" t="s">
        <v>72</v>
      </c>
      <c r="B45" s="33" t="str">
        <f t="shared" si="0"/>
        <v>-</v>
      </c>
      <c r="C45" s="34" t="s">
        <v>111</v>
      </c>
      <c r="D45" s="175"/>
    </row>
    <row r="46" spans="1:7">
      <c r="A46" s="172" t="s">
        <v>73</v>
      </c>
      <c r="B46" s="33">
        <f t="shared" si="0"/>
        <v>403.0201954397395</v>
      </c>
      <c r="C46" s="34" t="s">
        <v>111</v>
      </c>
      <c r="D46" s="175"/>
    </row>
    <row r="47" spans="1:7">
      <c r="A47" s="172" t="s">
        <v>74</v>
      </c>
      <c r="B47" s="33">
        <f t="shared" si="0"/>
        <v>1828.7583061889254</v>
      </c>
      <c r="C47" s="34" t="s">
        <v>111</v>
      </c>
      <c r="D47" s="175"/>
    </row>
    <row r="48" spans="1:7">
      <c r="A48" s="172" t="s">
        <v>75</v>
      </c>
      <c r="B48" s="33">
        <f t="shared" si="0"/>
        <v>429.02149837133555</v>
      </c>
      <c r="C48" s="33">
        <f>B48*10</f>
        <v>4290.2149837133557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4401.2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87260.334999999992</v>
      </c>
      <c r="C5" s="17">
        <f>IF(ISERROR('Eigen informatie GS &amp; warmtenet'!B58),0,'Eigen informatie GS &amp; warmtenet'!B58)</f>
        <v>0</v>
      </c>
      <c r="D5" s="30">
        <f>SUM(D6:D12)</f>
        <v>70721.346982000003</v>
      </c>
      <c r="E5" s="17">
        <f>SUM(E6:E12)</f>
        <v>1507.832480099667</v>
      </c>
      <c r="F5" s="17">
        <f>SUM(F6:F12)</f>
        <v>16072.615199924017</v>
      </c>
      <c r="G5" s="18"/>
      <c r="H5" s="17"/>
      <c r="I5" s="17"/>
      <c r="J5" s="17">
        <f>SUM(J6:J12)</f>
        <v>0</v>
      </c>
      <c r="K5" s="17"/>
      <c r="L5" s="17"/>
      <c r="M5" s="17"/>
      <c r="N5" s="17">
        <f>SUM(N6:N12)</f>
        <v>1742.4837555938545</v>
      </c>
      <c r="O5" s="17">
        <f>B38*B39*B40</f>
        <v>0</v>
      </c>
      <c r="P5" s="17">
        <f>B46*B47*B48/1000-B46*B47*B48/1000/B49</f>
        <v>38.133333333333333</v>
      </c>
      <c r="R5" s="32"/>
    </row>
    <row r="6" spans="1:18">
      <c r="A6" s="32" t="s">
        <v>54</v>
      </c>
      <c r="B6" s="37">
        <f>B26</f>
        <v>25794.482</v>
      </c>
      <c r="C6" s="33"/>
      <c r="D6" s="37">
        <f>IF(ISERROR(TER_kantoor_gas_kWh/1000),0,TER_kantoor_gas_kWh/1000)*0.902</f>
        <v>20688.318904</v>
      </c>
      <c r="E6" s="33">
        <f>$C$26*'E Balans VL '!I12/100/3.6*1000000</f>
        <v>902.9083389567752</v>
      </c>
      <c r="F6" s="33">
        <f>$C$26*('E Balans VL '!L12+'E Balans VL '!N12)/100/3.6*1000000</f>
        <v>3910.9972733017767</v>
      </c>
      <c r="G6" s="34"/>
      <c r="H6" s="33"/>
      <c r="I6" s="33"/>
      <c r="J6" s="33">
        <f>$C$26*('E Balans VL '!D12+'E Balans VL '!E12)/100/3.6*1000000</f>
        <v>0</v>
      </c>
      <c r="K6" s="33"/>
      <c r="L6" s="33"/>
      <c r="M6" s="33"/>
      <c r="N6" s="33">
        <f>$C$26*'E Balans VL '!Y12/100/3.6*1000000</f>
        <v>199.38327240932534</v>
      </c>
      <c r="O6" s="33"/>
      <c r="P6" s="33"/>
      <c r="R6" s="32"/>
    </row>
    <row r="7" spans="1:18">
      <c r="A7" s="32" t="s">
        <v>53</v>
      </c>
      <c r="B7" s="37">
        <f t="shared" ref="B7:B12" si="0">B27</f>
        <v>6638.42</v>
      </c>
      <c r="C7" s="33"/>
      <c r="D7" s="37">
        <f>IF(ISERROR(TER_horeca_gas_kWh/1000),0,TER_horeca_gas_kWh/1000)*0.902</f>
        <v>6496.3564379999998</v>
      </c>
      <c r="E7" s="33">
        <f>$C$27*'E Balans VL '!I9/100/3.6*1000000</f>
        <v>374.49515748873699</v>
      </c>
      <c r="F7" s="33">
        <f>$C$27*('E Balans VL '!L9+'E Balans VL '!N9)/100/3.6*1000000</f>
        <v>1156.4495014879674</v>
      </c>
      <c r="G7" s="34"/>
      <c r="H7" s="33"/>
      <c r="I7" s="33"/>
      <c r="J7" s="33">
        <f>$C$27*('E Balans VL '!D9+'E Balans VL '!E9)/100/3.6*1000000</f>
        <v>0</v>
      </c>
      <c r="K7" s="33"/>
      <c r="L7" s="33"/>
      <c r="M7" s="33"/>
      <c r="N7" s="33">
        <f>$C$27*'E Balans VL '!Y9/100/3.6*1000000</f>
        <v>0</v>
      </c>
      <c r="O7" s="33"/>
      <c r="P7" s="33"/>
      <c r="R7" s="32"/>
    </row>
    <row r="8" spans="1:18">
      <c r="A8" s="6" t="s">
        <v>52</v>
      </c>
      <c r="B8" s="37">
        <f t="shared" si="0"/>
        <v>36429.548999999999</v>
      </c>
      <c r="C8" s="33"/>
      <c r="D8" s="37">
        <f>IF(ISERROR(TER_handel_gas_kWh/1000),0,TER_handel_gas_kWh/1000)*0.902</f>
        <v>14005.95383</v>
      </c>
      <c r="E8" s="33">
        <f>$C$28*'E Balans VL '!I13/100/3.6*1000000</f>
        <v>187.02560337750131</v>
      </c>
      <c r="F8" s="33">
        <f>$C$28*('E Balans VL '!L13+'E Balans VL '!N13)/100/3.6*1000000</f>
        <v>5616.8735614843254</v>
      </c>
      <c r="G8" s="34"/>
      <c r="H8" s="33"/>
      <c r="I8" s="33"/>
      <c r="J8" s="33">
        <f>$C$28*('E Balans VL '!D13+'E Balans VL '!E13)/100/3.6*1000000</f>
        <v>0</v>
      </c>
      <c r="K8" s="33"/>
      <c r="L8" s="33"/>
      <c r="M8" s="33"/>
      <c r="N8" s="33">
        <f>$C$28*'E Balans VL '!Y13/100/3.6*1000000</f>
        <v>17.038544749801481</v>
      </c>
      <c r="O8" s="33"/>
      <c r="P8" s="33"/>
      <c r="R8" s="32"/>
    </row>
    <row r="9" spans="1:18">
      <c r="A9" s="32" t="s">
        <v>51</v>
      </c>
      <c r="B9" s="37">
        <f t="shared" si="0"/>
        <v>10644.624</v>
      </c>
      <c r="C9" s="33"/>
      <c r="D9" s="37">
        <f>IF(ISERROR(TER_gezond_gas_kWh/1000),0,TER_gezond_gas_kWh/1000)*0.902</f>
        <v>17605.619350000001</v>
      </c>
      <c r="E9" s="33">
        <f>$C$29*'E Balans VL '!I10/100/3.6*1000000</f>
        <v>4.4121208397048237</v>
      </c>
      <c r="F9" s="33">
        <f>$C$29*('E Balans VL '!L10+'E Balans VL '!N10)/100/3.6*1000000</f>
        <v>2621.6182269275669</v>
      </c>
      <c r="G9" s="34"/>
      <c r="H9" s="33"/>
      <c r="I9" s="33"/>
      <c r="J9" s="33">
        <f>$C$29*('E Balans VL '!D10+'E Balans VL '!E10)/100/3.6*1000000</f>
        <v>0</v>
      </c>
      <c r="K9" s="33"/>
      <c r="L9" s="33"/>
      <c r="M9" s="33"/>
      <c r="N9" s="33">
        <f>$C$29*'E Balans VL '!Y10/100/3.6*1000000</f>
        <v>91.995898136232427</v>
      </c>
      <c r="O9" s="33"/>
      <c r="P9" s="33"/>
      <c r="R9" s="32"/>
    </row>
    <row r="10" spans="1:18">
      <c r="A10" s="32" t="s">
        <v>50</v>
      </c>
      <c r="B10" s="37">
        <f t="shared" si="0"/>
        <v>6202.2950000000001</v>
      </c>
      <c r="C10" s="33"/>
      <c r="D10" s="37">
        <f>IF(ISERROR(TER_ander_gas_kWh/1000),0,TER_ander_gas_kWh/1000)*0.902</f>
        <v>7555.9457599999996</v>
      </c>
      <c r="E10" s="33">
        <f>$C$30*'E Balans VL '!I14/100/3.6*1000000</f>
        <v>37.809343347348047</v>
      </c>
      <c r="F10" s="33">
        <f>$C$30*('E Balans VL '!L14+'E Balans VL '!N14)/100/3.6*1000000</f>
        <v>1644.3133663038643</v>
      </c>
      <c r="G10" s="34"/>
      <c r="H10" s="33"/>
      <c r="I10" s="33"/>
      <c r="J10" s="33">
        <f>$C$30*('E Balans VL '!D14+'E Balans VL '!E14)/100/3.6*1000000</f>
        <v>0</v>
      </c>
      <c r="K10" s="33"/>
      <c r="L10" s="33"/>
      <c r="M10" s="33"/>
      <c r="N10" s="33">
        <f>$C$30*'E Balans VL '!Y14/100/3.6*1000000</f>
        <v>1429.4949757696147</v>
      </c>
      <c r="O10" s="33"/>
      <c r="P10" s="33"/>
      <c r="R10" s="32"/>
    </row>
    <row r="11" spans="1:18">
      <c r="A11" s="32" t="s">
        <v>55</v>
      </c>
      <c r="B11" s="37">
        <f t="shared" si="0"/>
        <v>1550.9649999999999</v>
      </c>
      <c r="C11" s="33"/>
      <c r="D11" s="37">
        <f>IF(ISERROR(TER_onderwijs_gas_kWh/1000),0,TER_onderwijs_gas_kWh/1000)*0.902</f>
        <v>4369.1527000000006</v>
      </c>
      <c r="E11" s="33">
        <f>$C$31*'E Balans VL '!I11/100/3.6*1000000</f>
        <v>1.1819160896007213</v>
      </c>
      <c r="F11" s="33">
        <f>$C$31*('E Balans VL '!L11+'E Balans VL '!N11)/100/3.6*1000000</f>
        <v>1122.3632704185163</v>
      </c>
      <c r="G11" s="34"/>
      <c r="H11" s="33"/>
      <c r="I11" s="33"/>
      <c r="J11" s="33">
        <f>$C$31*('E Balans VL '!D11+'E Balans VL '!E11)/100/3.6*1000000</f>
        <v>0</v>
      </c>
      <c r="K11" s="33"/>
      <c r="L11" s="33"/>
      <c r="M11" s="33"/>
      <c r="N11" s="33">
        <f>$C$31*'E Balans VL '!Y11/100/3.6*1000000</f>
        <v>4.5710645288805924</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833.85</v>
      </c>
      <c r="C13" s="248">
        <f ca="1">'lokale energieproductie'!O90+'lokale energieproductie'!O59</f>
        <v>34.071428571428577</v>
      </c>
      <c r="D13" s="311">
        <f ca="1">('lokale energieproductie'!P59+'lokale energieproductie'!P90)*(-1)</f>
        <v>-646.71428571428567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-1735.7142857142858</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88094.184999999998</v>
      </c>
      <c r="C16" s="21">
        <f ca="1">C5+C13+C14</f>
        <v>34.071428571428577</v>
      </c>
      <c r="D16" s="21">
        <f t="shared" ref="D16:N16" ca="1" si="1">MAX((D5+D13+D14),0)</f>
        <v>70074.632696285713</v>
      </c>
      <c r="E16" s="21">
        <f t="shared" si="1"/>
        <v>1507.832480099667</v>
      </c>
      <c r="F16" s="21">
        <f t="shared" ca="1" si="1"/>
        <v>16072.615199924017</v>
      </c>
      <c r="G16" s="21">
        <f t="shared" si="1"/>
        <v>0</v>
      </c>
      <c r="H16" s="21">
        <f t="shared" si="1"/>
        <v>0</v>
      </c>
      <c r="I16" s="21">
        <f t="shared" si="1"/>
        <v>0</v>
      </c>
      <c r="J16" s="21">
        <f t="shared" si="1"/>
        <v>0</v>
      </c>
      <c r="K16" s="21">
        <f t="shared" si="1"/>
        <v>0</v>
      </c>
      <c r="L16" s="21">
        <f t="shared" ca="1" si="1"/>
        <v>0</v>
      </c>
      <c r="M16" s="21">
        <f t="shared" si="1"/>
        <v>0</v>
      </c>
      <c r="N16" s="21">
        <f t="shared" ca="1" si="1"/>
        <v>6.76946987956876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0.21142573228081205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18625.377573306327</v>
      </c>
      <c r="C20" s="23">
        <f t="shared" ref="C20:P20" ca="1" si="2">C16*C18</f>
        <v>8.0969747899159685</v>
      </c>
      <c r="D20" s="23">
        <f t="shared" ca="1" si="2"/>
        <v>14155.075804649716</v>
      </c>
      <c r="E20" s="23">
        <f t="shared" si="2"/>
        <v>342.27797298262442</v>
      </c>
      <c r="F20" s="23">
        <f t="shared" ca="1" si="2"/>
        <v>4291.3882583797131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25794.482</v>
      </c>
      <c r="C26" s="39">
        <f>IF(ISERROR(B26*3.6/1000000/'E Balans VL '!Z12*100),0,B26*3.6/1000000/'E Balans VL '!Z12*100)</f>
        <v>0.54280209676152569</v>
      </c>
      <c r="D26" s="238" t="s">
        <v>720</v>
      </c>
      <c r="F26" s="6"/>
    </row>
    <row r="27" spans="1:18">
      <c r="A27" s="232" t="s">
        <v>53</v>
      </c>
      <c r="B27" s="33">
        <f>IF(ISERROR(TER_horeca_ele_kWh/1000),0,TER_horeca_ele_kWh/1000)</f>
        <v>6638.42</v>
      </c>
      <c r="C27" s="39">
        <f>IF(ISERROR(B27*3.6/1000000/'E Balans VL '!Z9*100),0,B27*3.6/1000000/'E Balans VL '!Z9*100)</f>
        <v>0.56205636761254585</v>
      </c>
      <c r="D27" s="238" t="s">
        <v>720</v>
      </c>
      <c r="F27" s="6"/>
    </row>
    <row r="28" spans="1:18">
      <c r="A28" s="172" t="s">
        <v>52</v>
      </c>
      <c r="B28" s="33">
        <f>IF(ISERROR(TER_handel_ele_kWh/1000),0,TER_handel_ele_kWh/1000)</f>
        <v>36429.548999999999</v>
      </c>
      <c r="C28" s="39">
        <f>IF(ISERROR(B28*3.6/1000000/'E Balans VL '!Z13*100),0,B28*3.6/1000000/'E Balans VL '!Z13*100)</f>
        <v>1.0085470266217287</v>
      </c>
      <c r="D28" s="238" t="s">
        <v>720</v>
      </c>
      <c r="F28" s="6"/>
    </row>
    <row r="29" spans="1:18">
      <c r="A29" s="232" t="s">
        <v>51</v>
      </c>
      <c r="B29" s="33">
        <f>IF(ISERROR(TER_gezond_ele_kWh/1000),0,TER_gezond_ele_kWh/1000)</f>
        <v>10644.624</v>
      </c>
      <c r="C29" s="39">
        <f>IF(ISERROR(B29*3.6/1000000/'E Balans VL '!Z10*100),0,B29*3.6/1000000/'E Balans VL '!Z10*100)</f>
        <v>1.3836831105842753</v>
      </c>
      <c r="D29" s="238" t="s">
        <v>720</v>
      </c>
      <c r="F29" s="6"/>
    </row>
    <row r="30" spans="1:18">
      <c r="A30" s="232" t="s">
        <v>50</v>
      </c>
      <c r="B30" s="33">
        <f>IF(ISERROR(TER_ander_ele_kWh/1000),0,TER_ander_ele_kWh/1000)</f>
        <v>6202.2950000000001</v>
      </c>
      <c r="C30" s="39">
        <f>IF(ISERROR(B30*3.6/1000000/'E Balans VL '!Z14*100),0,B30*3.6/1000000/'E Balans VL '!Z14*100)</f>
        <v>0.48073474189022464</v>
      </c>
      <c r="D30" s="238" t="s">
        <v>720</v>
      </c>
      <c r="F30" s="6"/>
    </row>
    <row r="31" spans="1:18">
      <c r="A31" s="232" t="s">
        <v>55</v>
      </c>
      <c r="B31" s="33">
        <f>IF(ISERROR(TER_onderwijs_ele_kWh/1000),0,TER_onderwijs_ele_kWh/1000)</f>
        <v>1550.9649999999999</v>
      </c>
      <c r="C31" s="39">
        <f>IF(ISERROR(B31*3.6/1000000/'E Balans VL '!Z11*100),0,B31*3.6/1000000/'E Balans VL '!Z11*100)</f>
        <v>0.29672603238432932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86595.211999999985</v>
      </c>
      <c r="C5" s="17">
        <f>IF(ISERROR('Eigen informatie GS &amp; warmtenet'!B59),0,'Eigen informatie GS &amp; warmtenet'!B59)</f>
        <v>0</v>
      </c>
      <c r="D5" s="30">
        <f>SUM(D6:D15)</f>
        <v>91697.137795999995</v>
      </c>
      <c r="E5" s="17">
        <f>SUM(E6:E15)</f>
        <v>684.86392188480215</v>
      </c>
      <c r="F5" s="17">
        <f>SUM(F6:F15)</f>
        <v>12562.485195468167</v>
      </c>
      <c r="G5" s="18"/>
      <c r="H5" s="17"/>
      <c r="I5" s="17"/>
      <c r="J5" s="17">
        <f>SUM(J6:J15)</f>
        <v>1486.6498870216799</v>
      </c>
      <c r="K5" s="17"/>
      <c r="L5" s="17"/>
      <c r="M5" s="17"/>
      <c r="N5" s="17">
        <f>SUM(N6:N15)</f>
        <v>712.16187990242645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69333.937000000005</v>
      </c>
      <c r="C8" s="33"/>
      <c r="D8" s="37">
        <f>IF( ISERROR(IND_metaal_Gas_kWH/1000),0,IND_metaal_Gas_kWH/1000)*0.902</f>
        <v>45089.638725999997</v>
      </c>
      <c r="E8" s="33">
        <f>C30*'E Balans VL '!I18/100/3.6*1000000</f>
        <v>487.19427745971495</v>
      </c>
      <c r="F8" s="33">
        <f>C30*'E Balans VL '!L18/100/3.6*1000000+C30*'E Balans VL '!N18/100/3.6*1000000</f>
        <v>7612.4606391416573</v>
      </c>
      <c r="G8" s="34"/>
      <c r="H8" s="33"/>
      <c r="I8" s="33"/>
      <c r="J8" s="40">
        <f>C30*'E Balans VL '!D18/100/3.6*1000000+C30*'E Balans VL '!E18/100/3.6*1000000</f>
        <v>1430.5085621073586</v>
      </c>
      <c r="K8" s="33"/>
      <c r="L8" s="33"/>
      <c r="M8" s="33"/>
      <c r="N8" s="33">
        <f>C30*'E Balans VL '!Y18/100/3.6*1000000</f>
        <v>259.86858930078671</v>
      </c>
      <c r="O8" s="33"/>
      <c r="P8" s="33"/>
      <c r="R8" s="32"/>
    </row>
    <row r="9" spans="1:18">
      <c r="A9" s="6" t="s">
        <v>33</v>
      </c>
      <c r="B9" s="37">
        <f t="shared" si="0"/>
        <v>3605.0059999999999</v>
      </c>
      <c r="C9" s="33"/>
      <c r="D9" s="37">
        <f>IF( ISERROR(IND_andere_gas_kWh/1000),0,IND_andere_gas_kWh/1000)*0.902</f>
        <v>2729.2030480000003</v>
      </c>
      <c r="E9" s="33">
        <f>C31*'E Balans VL '!I19/100/3.6*1000000</f>
        <v>60.550492043353771</v>
      </c>
      <c r="F9" s="33">
        <f>C31*'E Balans VL '!L19/100/3.6*1000000+C31*'E Balans VL '!N19/100/3.6*1000000</f>
        <v>2818.1883649894212</v>
      </c>
      <c r="G9" s="34"/>
      <c r="H9" s="33"/>
      <c r="I9" s="33"/>
      <c r="J9" s="40">
        <f>C31*'E Balans VL '!D19/100/3.6*1000000+C31*'E Balans VL '!E19/100/3.6*1000000</f>
        <v>0.3251397184244218</v>
      </c>
      <c r="K9" s="33"/>
      <c r="L9" s="33"/>
      <c r="M9" s="33"/>
      <c r="N9" s="33">
        <f>C31*'E Balans VL '!Y19/100/3.6*1000000</f>
        <v>267.18878182943837</v>
      </c>
      <c r="O9" s="33"/>
      <c r="P9" s="33"/>
      <c r="R9" s="32"/>
    </row>
    <row r="10" spans="1:18">
      <c r="A10" s="6" t="s">
        <v>41</v>
      </c>
      <c r="B10" s="37">
        <f t="shared" si="0"/>
        <v>12493.228999999999</v>
      </c>
      <c r="C10" s="33"/>
      <c r="D10" s="37">
        <f>IF( ISERROR(IND_voed_gas_kWh/1000),0,IND_voed_gas_kWh/1000)*0.902</f>
        <v>43444.250916000005</v>
      </c>
      <c r="E10" s="33">
        <f>C32*'E Balans VL '!I20/100/3.6*1000000</f>
        <v>113.98302983493865</v>
      </c>
      <c r="F10" s="33">
        <f>C32*'E Balans VL '!L20/100/3.6*1000000+C32*'E Balans VL '!N20/100/3.6*1000000</f>
        <v>2015.5486030347367</v>
      </c>
      <c r="G10" s="34"/>
      <c r="H10" s="33"/>
      <c r="I10" s="33"/>
      <c r="J10" s="40">
        <f>C32*'E Balans VL '!D20/100/3.6*1000000+C32*'E Balans VL '!E20/100/3.6*1000000</f>
        <v>51.455307979416354</v>
      </c>
      <c r="K10" s="33"/>
      <c r="L10" s="33"/>
      <c r="M10" s="33"/>
      <c r="N10" s="33">
        <f>C32*'E Balans VL '!Y20/100/3.6*1000000</f>
        <v>182.76608908244938</v>
      </c>
      <c r="O10" s="33"/>
      <c r="P10" s="33"/>
      <c r="R10" s="32"/>
    </row>
    <row r="11" spans="1:18">
      <c r="A11" s="6" t="s">
        <v>40</v>
      </c>
      <c r="B11" s="37">
        <f t="shared" si="0"/>
        <v>271.44</v>
      </c>
      <c r="C11" s="33"/>
      <c r="D11" s="37">
        <f>IF( ISERROR(IND_textiel_gas_kWh/1000),0,IND_textiel_gas_kWh/1000)*0.902</f>
        <v>239.90403800000001</v>
      </c>
      <c r="E11" s="33">
        <f>C33*'E Balans VL '!I21/100/3.6*1000000</f>
        <v>0.61910429003272449</v>
      </c>
      <c r="F11" s="33">
        <f>C33*'E Balans VL '!L21/100/3.6*1000000+C33*'E Balans VL '!N21/100/3.6*1000000</f>
        <v>5.8022817594657869</v>
      </c>
      <c r="G11" s="34"/>
      <c r="H11" s="33"/>
      <c r="I11" s="33"/>
      <c r="J11" s="40">
        <f>C33*'E Balans VL '!D21/100/3.6*1000000+C33*'E Balans VL '!E21/100/3.6*1000000</f>
        <v>0</v>
      </c>
      <c r="K11" s="33"/>
      <c r="L11" s="33"/>
      <c r="M11" s="33"/>
      <c r="N11" s="33">
        <f>C33*'E Balans VL '!Y21/100/3.6*1000000</f>
        <v>1.9255587401528793</v>
      </c>
      <c r="O11" s="33"/>
      <c r="P11" s="33"/>
      <c r="R11" s="32"/>
    </row>
    <row r="12" spans="1:18">
      <c r="A12" s="6" t="s">
        <v>37</v>
      </c>
      <c r="B12" s="37">
        <f t="shared" si="0"/>
        <v>740.48699999999997</v>
      </c>
      <c r="C12" s="33"/>
      <c r="D12" s="37">
        <f>IF( ISERROR(IND_min_gas_kWh/1000),0,IND_min_gas_kWh/1000)*0.902</f>
        <v>0</v>
      </c>
      <c r="E12" s="33">
        <f>C34*'E Balans VL '!I22/100/3.6*1000000</f>
        <v>18.36648495901435</v>
      </c>
      <c r="F12" s="33">
        <f>C34*'E Balans VL '!L22/100/3.6*1000000+C34*'E Balans VL '!N22/100/3.6*1000000</f>
        <v>78.6838339102558</v>
      </c>
      <c r="G12" s="34"/>
      <c r="H12" s="33"/>
      <c r="I12" s="33"/>
      <c r="J12" s="40">
        <f>C34*'E Balans VL '!D22/100/3.6*1000000+C34*'E Balans VL '!E22/100/3.6*1000000</f>
        <v>4.2064006497827799</v>
      </c>
      <c r="K12" s="33"/>
      <c r="L12" s="33"/>
      <c r="M12" s="33"/>
      <c r="N12" s="33">
        <f>C34*'E Balans VL '!Y22/100/3.6*1000000</f>
        <v>0</v>
      </c>
      <c r="O12" s="33"/>
      <c r="P12" s="33"/>
      <c r="R12" s="32"/>
    </row>
    <row r="13" spans="1:18">
      <c r="A13" s="6" t="s">
        <v>39</v>
      </c>
      <c r="B13" s="37">
        <f t="shared" si="0"/>
        <v>128.17099999999999</v>
      </c>
      <c r="C13" s="33"/>
      <c r="D13" s="37">
        <f>IF( ISERROR(IND_papier_gas_kWh/1000),0,IND_papier_gas_kWh/1000)*0.902</f>
        <v>133.68632200000002</v>
      </c>
      <c r="E13" s="33">
        <f>C35*'E Balans VL '!I23/100/3.6*1000000</f>
        <v>3.9434871734810972</v>
      </c>
      <c r="F13" s="33">
        <f>C35*'E Balans VL '!L23/100/3.6*1000000+C35*'E Balans VL '!N23/100/3.6*1000000</f>
        <v>27.215182611801566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22.942</v>
      </c>
      <c r="C15" s="33"/>
      <c r="D15" s="37">
        <f>IF( ISERROR(IND_rest_gas_kWh/1000),0,IND_rest_gas_kWh/1000)*0.902</f>
        <v>60.454746</v>
      </c>
      <c r="E15" s="33">
        <f>C37*'E Balans VL '!I15/100/3.6*1000000</f>
        <v>0.2070461242666273</v>
      </c>
      <c r="F15" s="33">
        <f>C37*'E Balans VL '!L15/100/3.6*1000000+C37*'E Balans VL '!N15/100/3.6*1000000</f>
        <v>4.586290020826322</v>
      </c>
      <c r="G15" s="34"/>
      <c r="H15" s="33"/>
      <c r="I15" s="33"/>
      <c r="J15" s="40">
        <f>C37*'E Balans VL '!D15/100/3.6*1000000+C37*'E Balans VL '!E15/100/3.6*1000000</f>
        <v>0.15447656669768495</v>
      </c>
      <c r="K15" s="33"/>
      <c r="L15" s="33"/>
      <c r="M15" s="33"/>
      <c r="N15" s="33">
        <f>C37*'E Balans VL '!Y15/100/3.6*1000000</f>
        <v>0.41286094959917047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86595.211999999985</v>
      </c>
      <c r="C18" s="21">
        <f>C5+C16</f>
        <v>0</v>
      </c>
      <c r="D18" s="21">
        <f>MAX((D5+D16),0)</f>
        <v>91697.137795999995</v>
      </c>
      <c r="E18" s="21">
        <f>MAX((E5+E16),0)</f>
        <v>684.86392188480215</v>
      </c>
      <c r="F18" s="21">
        <f>MAX((F5+F16),0)</f>
        <v>12562.485195468167</v>
      </c>
      <c r="G18" s="21"/>
      <c r="H18" s="21"/>
      <c r="I18" s="21"/>
      <c r="J18" s="21">
        <f>MAX((J5+J16),0)</f>
        <v>1486.6498870216799</v>
      </c>
      <c r="K18" s="21"/>
      <c r="L18" s="21">
        <f>MAX((L5+L16),0)</f>
        <v>0</v>
      </c>
      <c r="M18" s="21"/>
      <c r="N18" s="21">
        <f>MAX((N5+N16),0)</f>
        <v>712.16187990242645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0.21142573228081205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18308.456109112158</v>
      </c>
      <c r="C22" s="23">
        <f ca="1">C18*C20</f>
        <v>0</v>
      </c>
      <c r="D22" s="23">
        <f>D18*D20</f>
        <v>18522.821834792001</v>
      </c>
      <c r="E22" s="23">
        <f>E18*E20</f>
        <v>155.46411026785009</v>
      </c>
      <c r="F22" s="23">
        <f>F18*F20</f>
        <v>3354.1835471900008</v>
      </c>
      <c r="G22" s="23"/>
      <c r="H22" s="23"/>
      <c r="I22" s="23"/>
      <c r="J22" s="23">
        <f>J18*J20</f>
        <v>526.27406000567464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69333.937000000005</v>
      </c>
      <c r="C30" s="39">
        <f>IF(ISERROR(B30*3.6/1000000/'E Balans VL '!Z18*100),0,B30*3.6/1000000/'E Balans VL '!Z18*100)</f>
        <v>4.6156025249398533</v>
      </c>
      <c r="D30" s="238" t="s">
        <v>720</v>
      </c>
    </row>
    <row r="31" spans="1:18">
      <c r="A31" s="6" t="s">
        <v>33</v>
      </c>
      <c r="B31" s="37">
        <f>IF( ISERROR(IND_ander_ele_kWh/1000),0,IND_ander_ele_kWh/1000)</f>
        <v>3605.0059999999999</v>
      </c>
      <c r="C31" s="39">
        <f>IF(ISERROR(B31*3.6/1000000/'E Balans VL '!Z19*100),0,B31*3.6/1000000/'E Balans VL '!Z19*100)</f>
        <v>0.15979562953282164</v>
      </c>
      <c r="D31" s="238" t="s">
        <v>720</v>
      </c>
    </row>
    <row r="32" spans="1:18">
      <c r="A32" s="172" t="s">
        <v>41</v>
      </c>
      <c r="B32" s="37">
        <f>IF( ISERROR(IND_voed_ele_kWh/1000),0,IND_voed_ele_kWh/1000)</f>
        <v>12493.228999999999</v>
      </c>
      <c r="C32" s="39">
        <f>IF(ISERROR(B32*3.6/1000000/'E Balans VL '!Z20*100),0,B32*3.6/1000000/'E Balans VL '!Z20*100)</f>
        <v>0.41730968703560095</v>
      </c>
      <c r="D32" s="238" t="s">
        <v>720</v>
      </c>
    </row>
    <row r="33" spans="1:5">
      <c r="A33" s="172" t="s">
        <v>40</v>
      </c>
      <c r="B33" s="37">
        <f>IF( ISERROR(IND_textiel_ele_kWh/1000),0,IND_textiel_ele_kWh/1000)</f>
        <v>271.44</v>
      </c>
      <c r="C33" s="39">
        <f>IF(ISERROR(B33*3.6/1000000/'E Balans VL '!Z21*100),0,B33*3.6/1000000/'E Balans VL '!Z21*100)</f>
        <v>3.5735701951491727E-2</v>
      </c>
      <c r="D33" s="238" t="s">
        <v>720</v>
      </c>
    </row>
    <row r="34" spans="1:5">
      <c r="A34" s="172" t="s">
        <v>37</v>
      </c>
      <c r="B34" s="37">
        <f>IF( ISERROR(IND_min_ele_kWh/1000),0,IND_min_ele_kWh/1000)</f>
        <v>740.48699999999997</v>
      </c>
      <c r="C34" s="39">
        <f>IF(ISERROR(B34*3.6/1000000/'E Balans VL '!Z22*100),0,B34*3.6/1000000/'E Balans VL '!Z22*100)</f>
        <v>0.14401658771265743</v>
      </c>
      <c r="D34" s="238" t="s">
        <v>720</v>
      </c>
    </row>
    <row r="35" spans="1:5">
      <c r="A35" s="172" t="s">
        <v>39</v>
      </c>
      <c r="B35" s="37">
        <f>IF( ISERROR(IND_papier_ele_kWh/1000),0,IND_papier_ele_kWh/1000)</f>
        <v>128.17099999999999</v>
      </c>
      <c r="C35" s="39">
        <f>IF(ISERROR(B35*3.6/1000000/'E Balans VL '!Z22*100),0,B35*3.6/1000000/'E Balans VL '!Z22*100)</f>
        <v>2.4927851621593649E-2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22.942</v>
      </c>
      <c r="C37" s="39">
        <f>IF(ISERROR(B37*3.6/1000000/'E Balans VL '!Z15*100),0,B37*3.6/1000000/'E Balans VL '!Z15*100)</f>
        <v>1.7065110428490955E-4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8741.2369999999992</v>
      </c>
      <c r="C5" s="17">
        <f>'Eigen informatie GS &amp; warmtenet'!B60</f>
        <v>0</v>
      </c>
      <c r="D5" s="30">
        <f>IF(ISERROR(SUM(LB_lb_gas_kWh,LB_rest_gas_kWh,onbekend_gas_kWh)/1000),0,SUM(LB_lb_gas_kWh,LB_rest_gas_kWh,onbekend_gas_kWh)/1000)*0.902</f>
        <v>2149.8664880000001</v>
      </c>
      <c r="E5" s="17">
        <f>B17*'E Balans VL '!I25/3.6*1000000/100</f>
        <v>91.540126264638843</v>
      </c>
      <c r="F5" s="17">
        <f>B17*('E Balans VL '!L25/3.6*1000000+'E Balans VL '!N25/3.6*1000000)/100</f>
        <v>44896.385049058386</v>
      </c>
      <c r="G5" s="18"/>
      <c r="H5" s="17"/>
      <c r="I5" s="17"/>
      <c r="J5" s="17">
        <f>('E Balans VL '!D25+'E Balans VL '!E25)/3.6*1000000*landbouw!B17/100</f>
        <v>780.67081314383904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8741.2369999999992</v>
      </c>
      <c r="C8" s="21">
        <f>C5+C6</f>
        <v>0</v>
      </c>
      <c r="D8" s="21">
        <f>MAX((D5+D6),0)</f>
        <v>2149.8664880000001</v>
      </c>
      <c r="E8" s="21">
        <f>MAX((E5+E6),0)</f>
        <v>91.540126264638843</v>
      </c>
      <c r="F8" s="21">
        <f>MAX((F5+F6),0)</f>
        <v>44896.385049058386</v>
      </c>
      <c r="G8" s="21"/>
      <c r="H8" s="21"/>
      <c r="I8" s="21"/>
      <c r="J8" s="21">
        <f>MAX((J5+J6),0)</f>
        <v>780.67081314383904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0.21142573228081205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1848.1224337651286</v>
      </c>
      <c r="C12" s="23">
        <f ca="1">C8*C10</f>
        <v>0</v>
      </c>
      <c r="D12" s="23">
        <f>D8*D10</f>
        <v>434.27303057600005</v>
      </c>
      <c r="E12" s="23">
        <f>E8*E10</f>
        <v>20.779608662073016</v>
      </c>
      <c r="F12" s="23">
        <f>F8*F10</f>
        <v>11987.334808098591</v>
      </c>
      <c r="G12" s="23"/>
      <c r="H12" s="23"/>
      <c r="I12" s="23"/>
      <c r="J12" s="23">
        <f>J8*J10</f>
        <v>276.357467852919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1.3454451113564443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234.17508825492715</v>
      </c>
      <c r="C26" s="248">
        <f>B26*'GWP N2O_CH4'!B5</f>
        <v>4917.6768533534705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59.159380473654146</v>
      </c>
      <c r="C27" s="248">
        <f>B27*'GWP N2O_CH4'!B5</f>
        <v>1242.346989946737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3.5436970333620033</v>
      </c>
      <c r="C28" s="248">
        <f>B28*'GWP N2O_CH4'!B4</f>
        <v>1098.5460803422211</v>
      </c>
      <c r="D28" s="50"/>
    </row>
    <row r="29" spans="1:4">
      <c r="A29" s="41" t="s">
        <v>278</v>
      </c>
      <c r="B29" s="248">
        <f>B34*'ha_N2O bodem landbouw'!B4</f>
        <v>55.286948237895281</v>
      </c>
      <c r="C29" s="248">
        <f>B29*'GWP N2O_CH4'!B4</f>
        <v>17138.953953747536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9.1368943183237471E-3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1.00342568550526E-5</v>
      </c>
      <c r="C5" s="446" t="s">
        <v>212</v>
      </c>
      <c r="D5" s="431">
        <f>SUM(D6:D11)</f>
        <v>5.1580222798827623E-5</v>
      </c>
      <c r="E5" s="431">
        <f>SUM(E6:E11)</f>
        <v>5.1965165225188884E-3</v>
      </c>
      <c r="F5" s="444" t="s">
        <v>212</v>
      </c>
      <c r="G5" s="431">
        <f>SUM(G6:G11)</f>
        <v>0.91359029724055052</v>
      </c>
      <c r="H5" s="431">
        <f>SUM(H6:H11)</f>
        <v>0.17101080573294056</v>
      </c>
      <c r="I5" s="446" t="s">
        <v>212</v>
      </c>
      <c r="J5" s="446" t="s">
        <v>212</v>
      </c>
      <c r="K5" s="446" t="s">
        <v>212</v>
      </c>
      <c r="L5" s="446" t="s">
        <v>212</v>
      </c>
      <c r="M5" s="431">
        <f>SUM(M6:M11)</f>
        <v>4.7362760390765368E-2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7.6025193513739931E-6</v>
      </c>
      <c r="C6" s="432"/>
      <c r="D6" s="432">
        <f>vkm_2011_GW_PW*SUMIFS(TableVerdeelsleutelVkm[CNG],TableVerdeelsleutelVkm[Voertuigtype],"Lichte voertuigen")*SUMIFS(TableECFTransport[EnergieConsumptieFactor (PJ per km)],TableECFTransport[Index],CONCATENATE($A6,"_CNG_CNG"))</f>
        <v>3.2773577207899593E-5</v>
      </c>
      <c r="E6" s="434">
        <f>vkm_2011_GW_PW*SUMIFS(TableVerdeelsleutelVkm[LPG],TableVerdeelsleutelVkm[Voertuigtype],"Lichte voertuigen")*SUMIFS(TableECFTransport[EnergieConsumptieFactor (PJ per km)],TableECFTransport[Index],CONCATENATE($A6,"_LPG_LPG"))</f>
        <v>3.4098896140327996E-3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0.41942578362399718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0.11042611705926571</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2.3220650495298707E-2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0.26639608697939926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9.1343526602230907E-5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1.1507811817799208E-2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2.4317375036786065E-6</v>
      </c>
      <c r="C8" s="432"/>
      <c r="D8" s="434">
        <f>vkm_2011_NGW_PW*SUMIFS(TableVerdeelsleutelVkm[CNG],TableVerdeelsleutelVkm[Voertuigtype],"Lichte voertuigen")*SUMIFS(TableECFTransport[EnergieConsumptieFactor (PJ per km)],TableECFTransport[Index],CONCATENATE($A8,"_CNG_CNG"))</f>
        <v>1.8806645590928033E-5</v>
      </c>
      <c r="E8" s="434">
        <f>vkm_2011_NGW_PW*SUMIFS(TableVerdeelsleutelVkm[LPG],TableVerdeelsleutelVkm[Voertuigtype],"Lichte voertuigen")*SUMIFS(TableECFTransport[EnergieConsumptieFactor (PJ per km)],TableECFTransport[Index],CONCATENATE($A8,"_LPG_LPG"))</f>
        <v>1.7866269084860886E-3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0.20843736994244988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6.0487586933130992E-2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1.1799272905738758E-2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1.9331056694704127E-2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5.7582139416364248E-6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8.35025171928695E-4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2.7872935708479449</v>
      </c>
      <c r="C14" s="21"/>
      <c r="D14" s="21">
        <f t="shared" ref="D14:M14" si="0">((D5)*10^9/3600)+D12</f>
        <v>14.327839666341006</v>
      </c>
      <c r="E14" s="21">
        <f t="shared" si="0"/>
        <v>1443.4768118108022</v>
      </c>
      <c r="F14" s="21"/>
      <c r="G14" s="21">
        <f t="shared" si="0"/>
        <v>253775.08256681959</v>
      </c>
      <c r="H14" s="21">
        <f t="shared" si="0"/>
        <v>47503.001592483488</v>
      </c>
      <c r="I14" s="21"/>
      <c r="J14" s="21"/>
      <c r="K14" s="21"/>
      <c r="L14" s="21"/>
      <c r="M14" s="21">
        <f t="shared" si="0"/>
        <v>13156.322330768158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0.21142573228081205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0.58930558429812618</v>
      </c>
      <c r="C18" s="23"/>
      <c r="D18" s="23">
        <f t="shared" ref="D18:M18" si="1">D14*D16</f>
        <v>2.8942236126008836</v>
      </c>
      <c r="E18" s="23">
        <f t="shared" si="1"/>
        <v>327.66923628105212</v>
      </c>
      <c r="F18" s="23"/>
      <c r="G18" s="23">
        <f t="shared" si="1"/>
        <v>67757.947045340828</v>
      </c>
      <c r="H18" s="23">
        <f t="shared" si="1"/>
        <v>11828.247396528388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2.2255599647262578E-2</v>
      </c>
      <c r="H50" s="322">
        <f t="shared" si="2"/>
        <v>0</v>
      </c>
      <c r="I50" s="322">
        <f t="shared" si="2"/>
        <v>0</v>
      </c>
      <c r="J50" s="322">
        <f t="shared" si="2"/>
        <v>0</v>
      </c>
      <c r="K50" s="322">
        <f t="shared" si="2"/>
        <v>0</v>
      </c>
      <c r="L50" s="322">
        <f t="shared" si="2"/>
        <v>0</v>
      </c>
      <c r="M50" s="322">
        <f t="shared" si="2"/>
        <v>9.4865952403165609E-4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2.2255599647262578E-2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9.4865952403165609E-4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6182.1110131284941</v>
      </c>
      <c r="H54" s="21">
        <f t="shared" si="3"/>
        <v>0</v>
      </c>
      <c r="I54" s="21">
        <f t="shared" si="3"/>
        <v>0</v>
      </c>
      <c r="J54" s="21">
        <f t="shared" si="3"/>
        <v>0</v>
      </c>
      <c r="K54" s="21">
        <f t="shared" si="3"/>
        <v>0</v>
      </c>
      <c r="L54" s="21">
        <f t="shared" si="3"/>
        <v>0</v>
      </c>
      <c r="M54" s="21">
        <f t="shared" si="3"/>
        <v>263.5165344532378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0.21142573228081205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1650.623640505308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10801.991111686764</v>
      </c>
      <c r="C6" s="1124"/>
      <c r="D6" s="1127"/>
      <c r="E6" s="1127"/>
      <c r="F6" s="1130"/>
      <c r="G6" s="1133"/>
      <c r="H6" s="1121"/>
      <c r="I6" s="1127"/>
      <c r="J6" s="1127"/>
      <c r="K6" s="1127"/>
      <c r="L6" s="1157"/>
      <c r="M6" s="559"/>
      <c r="N6" s="1169"/>
      <c r="O6" s="1170"/>
      <c r="Q6" s="557"/>
      <c r="R6" s="1154"/>
      <c r="S6" s="1154"/>
    </row>
    <row r="7" spans="1:19" s="547" customFormat="1">
      <c r="A7" s="560" t="s">
        <v>253</v>
      </c>
      <c r="B7" s="561">
        <f>N57</f>
        <v>23.85</v>
      </c>
      <c r="C7" s="562">
        <f>B100</f>
        <v>28.058823529411768</v>
      </c>
      <c r="D7" s="563"/>
      <c r="E7" s="563">
        <f>E100</f>
        <v>0</v>
      </c>
      <c r="F7" s="564"/>
      <c r="G7" s="565"/>
      <c r="H7" s="563">
        <f>I100</f>
        <v>0</v>
      </c>
      <c r="I7" s="563">
        <f>G100+F100</f>
        <v>0</v>
      </c>
      <c r="J7" s="563">
        <f>H100+D100+C100</f>
        <v>0</v>
      </c>
      <c r="K7" s="563"/>
      <c r="L7" s="566"/>
      <c r="M7" s="567">
        <f>C7*$C$11+D7*$D$11+E7*$E$11+F7*$F$11+G7*$G$11+H7*$H$11+I7*$I$11+J7*$J$11</f>
        <v>5.6678823529411773</v>
      </c>
      <c r="N7" s="1169"/>
      <c r="O7" s="1170"/>
      <c r="Q7" s="557"/>
      <c r="R7" s="1154"/>
      <c r="S7" s="1154"/>
    </row>
    <row r="8" spans="1:19" s="547" customFormat="1" ht="17.45" customHeight="1" thickBot="1">
      <c r="A8" s="568" t="s">
        <v>249</v>
      </c>
      <c r="B8" s="569">
        <f>N88+'Eigen informatie GS &amp; warmtenet'!B12</f>
        <v>810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578.57142857142856</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1735.7142857142858</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116.87142857142858</v>
      </c>
      <c r="N8" s="1171"/>
      <c r="O8" s="1172"/>
      <c r="P8" s="575"/>
      <c r="Q8" s="557"/>
      <c r="R8" s="1154"/>
      <c r="S8" s="1154"/>
    </row>
    <row r="9" spans="1:19" s="547" customFormat="1" ht="16.5" thickTop="1" thickBot="1">
      <c r="A9" s="576" t="s">
        <v>116</v>
      </c>
      <c r="B9" s="577">
        <f>SUM(B4:B8)</f>
        <v>11635.841111686765</v>
      </c>
      <c r="C9" s="578">
        <f t="shared" ref="C9:L9" si="0">SUM(C7:C8)</f>
        <v>606.63025210084038</v>
      </c>
      <c r="D9" s="578">
        <f t="shared" si="0"/>
        <v>0</v>
      </c>
      <c r="E9" s="578">
        <f t="shared" si="0"/>
        <v>0</v>
      </c>
      <c r="F9" s="578">
        <f t="shared" si="0"/>
        <v>0</v>
      </c>
      <c r="G9" s="578">
        <f t="shared" si="0"/>
        <v>0</v>
      </c>
      <c r="H9" s="578">
        <f t="shared" si="0"/>
        <v>0</v>
      </c>
      <c r="I9" s="578">
        <f t="shared" si="0"/>
        <v>0</v>
      </c>
      <c r="J9" s="578">
        <f t="shared" si="0"/>
        <v>1735.7142857142858</v>
      </c>
      <c r="K9" s="578">
        <f t="shared" si="0"/>
        <v>0</v>
      </c>
      <c r="L9" s="578">
        <f t="shared" si="0"/>
        <v>0</v>
      </c>
      <c r="M9" s="579">
        <f>SUM(M4:M8)</f>
        <v>122.53931092436976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34.071428571428577</v>
      </c>
      <c r="C16" s="594">
        <f>B101</f>
        <v>40.084033613445385</v>
      </c>
      <c r="D16" s="595"/>
      <c r="E16" s="595">
        <f>E101</f>
        <v>0</v>
      </c>
      <c r="F16" s="596"/>
      <c r="G16" s="597"/>
      <c r="H16" s="594">
        <f>I101</f>
        <v>0</v>
      </c>
      <c r="I16" s="595">
        <f>G101+F101</f>
        <v>0</v>
      </c>
      <c r="J16" s="595">
        <f>H101+D101+C101</f>
        <v>0</v>
      </c>
      <c r="K16" s="595"/>
      <c r="L16" s="598"/>
      <c r="M16" s="599">
        <f>C16*$C$21+E16*$E$21+H16*$H$21+I16*$I$21+J16*$J$21+D16*$D$21+F16*$F$21+G16*$G$21+K16*$K$21+L16*$L$21</f>
        <v>8.0969747899159685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34.071428571428577</v>
      </c>
      <c r="C19" s="577">
        <f>SUM(C16:C18)</f>
        <v>40.084033613445385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8.0969747899159685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71053</v>
      </c>
      <c r="C27" s="839">
        <v>3800</v>
      </c>
      <c r="D27" s="656" t="s">
        <v>894</v>
      </c>
      <c r="E27" s="655" t="s">
        <v>895</v>
      </c>
      <c r="F27" s="655" t="s">
        <v>896</v>
      </c>
      <c r="G27" s="655" t="s">
        <v>897</v>
      </c>
      <c r="H27" s="655" t="s">
        <v>898</v>
      </c>
      <c r="I27" s="655" t="s">
        <v>895</v>
      </c>
      <c r="J27" s="838">
        <v>39764</v>
      </c>
      <c r="K27" s="838">
        <v>40238</v>
      </c>
      <c r="L27" s="655" t="s">
        <v>899</v>
      </c>
      <c r="M27" s="655">
        <v>5.3</v>
      </c>
      <c r="N27" s="655">
        <v>23.85</v>
      </c>
      <c r="O27" s="655">
        <v>34.071428571428577</v>
      </c>
      <c r="P27" s="655">
        <v>68.142857142857153</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5.3</v>
      </c>
      <c r="N57" s="613">
        <f>SUM(N27:N56)</f>
        <v>23.85</v>
      </c>
      <c r="O57" s="613">
        <f t="shared" ref="O57:W57" si="2">SUM(O27:O56)</f>
        <v>34.071428571428577</v>
      </c>
      <c r="P57" s="613">
        <f t="shared" si="2"/>
        <v>68.142857142857153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5.3</v>
      </c>
      <c r="N59" s="613">
        <f ca="1">SUMIF($Z$27:AB56,"tertiair",N27:N56)</f>
        <v>23.85</v>
      </c>
      <c r="O59" s="613">
        <f ca="1">SUMIF($Z$27:AC56,"tertiair",O27:O56)</f>
        <v>34.071428571428577</v>
      </c>
      <c r="P59" s="613">
        <f ca="1">SUMIF($Z$27:AD56,"tertiair",P27:P56)</f>
        <v>68.142857142857153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71053</v>
      </c>
      <c r="C63" s="839">
        <v>3803</v>
      </c>
      <c r="D63" s="658" t="s">
        <v>900</v>
      </c>
      <c r="E63" s="658" t="s">
        <v>901</v>
      </c>
      <c r="F63" s="658" t="s">
        <v>902</v>
      </c>
      <c r="G63" s="658" t="s">
        <v>903</v>
      </c>
      <c r="H63" s="658" t="s">
        <v>904</v>
      </c>
      <c r="I63" s="658" t="s">
        <v>905</v>
      </c>
      <c r="J63" s="838">
        <v>33604</v>
      </c>
      <c r="K63" s="838">
        <v>37316</v>
      </c>
      <c r="L63" s="658" t="s">
        <v>899</v>
      </c>
      <c r="M63" s="658">
        <v>180</v>
      </c>
      <c r="N63" s="658">
        <v>810</v>
      </c>
      <c r="O63" s="658">
        <v>0</v>
      </c>
      <c r="P63" s="658">
        <v>578.57142857142856</v>
      </c>
      <c r="Q63" s="658">
        <v>1735.7142857142858</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180</v>
      </c>
      <c r="N88" s="613">
        <f t="shared" ref="N88:W88" si="5">SUM(N63:N87)</f>
        <v>810</v>
      </c>
      <c r="O88" s="613">
        <f t="shared" si="5"/>
        <v>0</v>
      </c>
      <c r="P88" s="613">
        <f t="shared" si="5"/>
        <v>578.57142857142856</v>
      </c>
      <c r="Q88" s="613">
        <f t="shared" si="5"/>
        <v>1735.7142857142858</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180</v>
      </c>
      <c r="N90" s="613">
        <f t="shared" ref="N90:W90" si="7">SUMIF($Z$63:$Z$88,"tertiair",N63:N88)</f>
        <v>810</v>
      </c>
      <c r="O90" s="613">
        <f t="shared" si="7"/>
        <v>0</v>
      </c>
      <c r="P90" s="613">
        <f t="shared" si="7"/>
        <v>578.57142857142856</v>
      </c>
      <c r="Q90" s="613">
        <f t="shared" si="7"/>
        <v>1735.7142857142858</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28.058823529411768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40.084033613445385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90529.967999999993</v>
      </c>
      <c r="D10" s="702">
        <f ca="1">tertiair!C16</f>
        <v>34.071428571428577</v>
      </c>
      <c r="E10" s="702">
        <f ca="1">tertiair!D16</f>
        <v>70074.632696285713</v>
      </c>
      <c r="F10" s="702">
        <f>tertiair!E16</f>
        <v>1507.832480099667</v>
      </c>
      <c r="G10" s="702">
        <f ca="1">tertiair!F16</f>
        <v>16072.615199924017</v>
      </c>
      <c r="H10" s="702">
        <f>tertiair!G16</f>
        <v>0</v>
      </c>
      <c r="I10" s="702">
        <f>tertiair!H16</f>
        <v>0</v>
      </c>
      <c r="J10" s="702">
        <f>tertiair!I16</f>
        <v>0</v>
      </c>
      <c r="K10" s="702">
        <f>tertiair!J16</f>
        <v>0</v>
      </c>
      <c r="L10" s="702">
        <f>tertiair!K16</f>
        <v>0</v>
      </c>
      <c r="M10" s="702">
        <f ca="1">tertiair!L16</f>
        <v>0</v>
      </c>
      <c r="N10" s="702">
        <f>tertiair!M16</f>
        <v>0</v>
      </c>
      <c r="O10" s="702">
        <f ca="1">tertiair!N16</f>
        <v>6.76946987956876</v>
      </c>
      <c r="P10" s="702">
        <f>tertiair!O16</f>
        <v>0</v>
      </c>
      <c r="Q10" s="703">
        <f>tertiair!P16</f>
        <v>38.133333333333333</v>
      </c>
      <c r="R10" s="705">
        <f ca="1">SUM(C10:Q10)</f>
        <v>178264.02260809371</v>
      </c>
      <c r="S10" s="67"/>
    </row>
    <row r="11" spans="1:19" s="457" customFormat="1">
      <c r="A11" s="858" t="s">
        <v>226</v>
      </c>
      <c r="B11" s="863"/>
      <c r="C11" s="702">
        <f>huishoudens!B8</f>
        <v>69918.668636947579</v>
      </c>
      <c r="D11" s="702">
        <f>huishoudens!C8</f>
        <v>0</v>
      </c>
      <c r="E11" s="702">
        <f>huishoudens!D8</f>
        <v>149104.035718</v>
      </c>
      <c r="F11" s="702">
        <f>huishoudens!E8</f>
        <v>8289.9970544845801</v>
      </c>
      <c r="G11" s="702">
        <f>huishoudens!F8</f>
        <v>100356.6283138305</v>
      </c>
      <c r="H11" s="702">
        <f>huishoudens!G8</f>
        <v>0</v>
      </c>
      <c r="I11" s="702">
        <f>huishoudens!H8</f>
        <v>0</v>
      </c>
      <c r="J11" s="702">
        <f>huishoudens!I8</f>
        <v>0</v>
      </c>
      <c r="K11" s="702">
        <f>huishoudens!J8</f>
        <v>0</v>
      </c>
      <c r="L11" s="702">
        <f>huishoudens!K8</f>
        <v>0</v>
      </c>
      <c r="M11" s="702">
        <f>huishoudens!L8</f>
        <v>0</v>
      </c>
      <c r="N11" s="702">
        <f>huishoudens!M8</f>
        <v>0</v>
      </c>
      <c r="O11" s="702">
        <f>huishoudens!N8</f>
        <v>25533.275028060165</v>
      </c>
      <c r="P11" s="702">
        <f>huishoudens!O8</f>
        <v>95.36333333333333</v>
      </c>
      <c r="Q11" s="703">
        <f>huishoudens!P8</f>
        <v>495.73333333333335</v>
      </c>
      <c r="R11" s="705">
        <f>SUM(C11:Q11)</f>
        <v>353793.70141798956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86595.211999999985</v>
      </c>
      <c r="D13" s="702">
        <f>industrie!C18</f>
        <v>0</v>
      </c>
      <c r="E13" s="702">
        <f>industrie!D18</f>
        <v>91697.137795999995</v>
      </c>
      <c r="F13" s="702">
        <f>industrie!E18</f>
        <v>684.86392188480215</v>
      </c>
      <c r="G13" s="702">
        <f>industrie!F18</f>
        <v>12562.485195468167</v>
      </c>
      <c r="H13" s="702">
        <f>industrie!G18</f>
        <v>0</v>
      </c>
      <c r="I13" s="702">
        <f>industrie!H18</f>
        <v>0</v>
      </c>
      <c r="J13" s="702">
        <f>industrie!I18</f>
        <v>0</v>
      </c>
      <c r="K13" s="702">
        <f>industrie!J18</f>
        <v>1486.6498870216799</v>
      </c>
      <c r="L13" s="702">
        <f>industrie!K18</f>
        <v>0</v>
      </c>
      <c r="M13" s="702">
        <f>industrie!L18</f>
        <v>0</v>
      </c>
      <c r="N13" s="702">
        <f>industrie!M18</f>
        <v>0</v>
      </c>
      <c r="O13" s="702">
        <f>industrie!N18</f>
        <v>712.16187990242645</v>
      </c>
      <c r="P13" s="702">
        <f>industrie!O18</f>
        <v>0</v>
      </c>
      <c r="Q13" s="703">
        <f>industrie!P18</f>
        <v>0</v>
      </c>
      <c r="R13" s="705">
        <f>SUM(C13:Q13)</f>
        <v>193738.51068027708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247043.84863694757</v>
      </c>
      <c r="D15" s="707">
        <f t="shared" ref="D15:Q15" ca="1" si="0">SUM(D9:D14)</f>
        <v>34.071428571428577</v>
      </c>
      <c r="E15" s="707">
        <f t="shared" ca="1" si="0"/>
        <v>310875.80621028569</v>
      </c>
      <c r="F15" s="707">
        <f t="shared" si="0"/>
        <v>10482.693456469049</v>
      </c>
      <c r="G15" s="707">
        <f t="shared" ca="1" si="0"/>
        <v>128991.72870922268</v>
      </c>
      <c r="H15" s="707">
        <f t="shared" si="0"/>
        <v>0</v>
      </c>
      <c r="I15" s="707">
        <f t="shared" si="0"/>
        <v>0</v>
      </c>
      <c r="J15" s="707">
        <f t="shared" si="0"/>
        <v>0</v>
      </c>
      <c r="K15" s="707">
        <f t="shared" si="0"/>
        <v>1486.6498870216799</v>
      </c>
      <c r="L15" s="707">
        <f t="shared" si="0"/>
        <v>0</v>
      </c>
      <c r="M15" s="707">
        <f t="shared" ca="1" si="0"/>
        <v>0</v>
      </c>
      <c r="N15" s="707">
        <f t="shared" si="0"/>
        <v>0</v>
      </c>
      <c r="O15" s="707">
        <f t="shared" ca="1" si="0"/>
        <v>26252.206377842158</v>
      </c>
      <c r="P15" s="707">
        <f t="shared" si="0"/>
        <v>95.36333333333333</v>
      </c>
      <c r="Q15" s="708">
        <f t="shared" si="0"/>
        <v>533.86666666666667</v>
      </c>
      <c r="R15" s="709">
        <f ca="1">SUM(R9:R14)</f>
        <v>725796.23470636038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6182.1110131284941</v>
      </c>
      <c r="I18" s="702">
        <f>transport!H54</f>
        <v>0</v>
      </c>
      <c r="J18" s="702">
        <f>transport!I54</f>
        <v>0</v>
      </c>
      <c r="K18" s="702">
        <f>transport!J54</f>
        <v>0</v>
      </c>
      <c r="L18" s="702">
        <f>transport!K54</f>
        <v>0</v>
      </c>
      <c r="M18" s="702">
        <f>transport!L54</f>
        <v>0</v>
      </c>
      <c r="N18" s="702">
        <f>transport!M54</f>
        <v>263.5165344532378</v>
      </c>
      <c r="O18" s="702">
        <f>transport!N54</f>
        <v>0</v>
      </c>
      <c r="P18" s="702">
        <f>transport!O54</f>
        <v>0</v>
      </c>
      <c r="Q18" s="703">
        <f>transport!P54</f>
        <v>0</v>
      </c>
      <c r="R18" s="705">
        <f>SUM(C18:Q18)</f>
        <v>6445.627547581732</v>
      </c>
      <c r="S18" s="67"/>
    </row>
    <row r="19" spans="1:19" s="457" customFormat="1" ht="15" thickBot="1">
      <c r="A19" s="858" t="s">
        <v>308</v>
      </c>
      <c r="B19" s="863"/>
      <c r="C19" s="711">
        <f>transport!B14</f>
        <v>2.7872935708479449</v>
      </c>
      <c r="D19" s="711">
        <f>transport!C14</f>
        <v>0</v>
      </c>
      <c r="E19" s="711">
        <f>transport!D14</f>
        <v>14.327839666341006</v>
      </c>
      <c r="F19" s="711">
        <f>transport!E14</f>
        <v>1443.4768118108022</v>
      </c>
      <c r="G19" s="711">
        <f>transport!F14</f>
        <v>0</v>
      </c>
      <c r="H19" s="711">
        <f>transport!G14</f>
        <v>253775.08256681959</v>
      </c>
      <c r="I19" s="711">
        <f>transport!H14</f>
        <v>47503.001592483488</v>
      </c>
      <c r="J19" s="711">
        <f>transport!I14</f>
        <v>0</v>
      </c>
      <c r="K19" s="711">
        <f>transport!J14</f>
        <v>0</v>
      </c>
      <c r="L19" s="711">
        <f>transport!K14</f>
        <v>0</v>
      </c>
      <c r="M19" s="711">
        <f>transport!L14</f>
        <v>0</v>
      </c>
      <c r="N19" s="711">
        <f>transport!M14</f>
        <v>13156.322330768158</v>
      </c>
      <c r="O19" s="711">
        <f>transport!N14</f>
        <v>0</v>
      </c>
      <c r="P19" s="711">
        <f>transport!O14</f>
        <v>0</v>
      </c>
      <c r="Q19" s="712">
        <f>transport!P14</f>
        <v>0</v>
      </c>
      <c r="R19" s="713">
        <f>SUM(C19:Q19)</f>
        <v>315894.99843511923</v>
      </c>
      <c r="S19" s="67"/>
    </row>
    <row r="20" spans="1:19" s="457" customFormat="1" ht="15.75" thickBot="1">
      <c r="A20" s="714" t="s">
        <v>231</v>
      </c>
      <c r="B20" s="866"/>
      <c r="C20" s="861">
        <f>SUM(C17:C19)</f>
        <v>2.7872935708479449</v>
      </c>
      <c r="D20" s="715">
        <f t="shared" ref="D20:R20" si="1">SUM(D17:D19)</f>
        <v>0</v>
      </c>
      <c r="E20" s="715">
        <f t="shared" si="1"/>
        <v>14.327839666341006</v>
      </c>
      <c r="F20" s="715">
        <f t="shared" si="1"/>
        <v>1443.4768118108022</v>
      </c>
      <c r="G20" s="715">
        <f t="shared" si="1"/>
        <v>0</v>
      </c>
      <c r="H20" s="715">
        <f t="shared" si="1"/>
        <v>259957.19357994807</v>
      </c>
      <c r="I20" s="715">
        <f t="shared" si="1"/>
        <v>47503.001592483488</v>
      </c>
      <c r="J20" s="715">
        <f t="shared" si="1"/>
        <v>0</v>
      </c>
      <c r="K20" s="715">
        <f t="shared" si="1"/>
        <v>0</v>
      </c>
      <c r="L20" s="715">
        <f t="shared" si="1"/>
        <v>0</v>
      </c>
      <c r="M20" s="715">
        <f t="shared" si="1"/>
        <v>0</v>
      </c>
      <c r="N20" s="715">
        <f t="shared" si="1"/>
        <v>13419.838865221396</v>
      </c>
      <c r="O20" s="715">
        <f t="shared" si="1"/>
        <v>0</v>
      </c>
      <c r="P20" s="715">
        <f t="shared" si="1"/>
        <v>0</v>
      </c>
      <c r="Q20" s="716">
        <f t="shared" si="1"/>
        <v>0</v>
      </c>
      <c r="R20" s="717">
        <f t="shared" si="1"/>
        <v>322340.62598270096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8741.2369999999992</v>
      </c>
      <c r="D22" s="711">
        <f>+landbouw!C8</f>
        <v>0</v>
      </c>
      <c r="E22" s="711">
        <f>+landbouw!D8</f>
        <v>2149.8664880000001</v>
      </c>
      <c r="F22" s="711">
        <f>+landbouw!E8</f>
        <v>91.540126264638843</v>
      </c>
      <c r="G22" s="711">
        <f>+landbouw!F8</f>
        <v>44896.385049058386</v>
      </c>
      <c r="H22" s="711">
        <f>+landbouw!G8</f>
        <v>0</v>
      </c>
      <c r="I22" s="711">
        <f>+landbouw!H8</f>
        <v>0</v>
      </c>
      <c r="J22" s="711">
        <f>+landbouw!I8</f>
        <v>0</v>
      </c>
      <c r="K22" s="711">
        <f>+landbouw!J8</f>
        <v>780.67081314383904</v>
      </c>
      <c r="L22" s="711">
        <f>+landbouw!K8</f>
        <v>0</v>
      </c>
      <c r="M22" s="711">
        <f>+landbouw!L8</f>
        <v>0</v>
      </c>
      <c r="N22" s="711">
        <f>+landbouw!M8</f>
        <v>0</v>
      </c>
      <c r="O22" s="711">
        <f>+landbouw!N8</f>
        <v>0</v>
      </c>
      <c r="P22" s="711">
        <f>+landbouw!O8</f>
        <v>0</v>
      </c>
      <c r="Q22" s="712">
        <f>+landbouw!P8</f>
        <v>0</v>
      </c>
      <c r="R22" s="713">
        <f>SUM(C22:Q22)</f>
        <v>56659.699476466863</v>
      </c>
      <c r="S22" s="67"/>
    </row>
    <row r="23" spans="1:19" s="457" customFormat="1" ht="17.25" thickTop="1" thickBot="1">
      <c r="A23" s="718" t="s">
        <v>116</v>
      </c>
      <c r="B23" s="852"/>
      <c r="C23" s="719">
        <f ca="1">C20+C15+C22</f>
        <v>255787.87293051841</v>
      </c>
      <c r="D23" s="719">
        <f t="shared" ref="D23:Q23" ca="1" si="2">D20+D15+D22</f>
        <v>34.071428571428577</v>
      </c>
      <c r="E23" s="719">
        <f t="shared" ca="1" si="2"/>
        <v>313040.00053795206</v>
      </c>
      <c r="F23" s="719">
        <f t="shared" si="2"/>
        <v>12017.710394544491</v>
      </c>
      <c r="G23" s="719">
        <f t="shared" ca="1" si="2"/>
        <v>173888.11375828105</v>
      </c>
      <c r="H23" s="719">
        <f t="shared" si="2"/>
        <v>259957.19357994807</v>
      </c>
      <c r="I23" s="719">
        <f t="shared" si="2"/>
        <v>47503.001592483488</v>
      </c>
      <c r="J23" s="719">
        <f t="shared" si="2"/>
        <v>0</v>
      </c>
      <c r="K23" s="719">
        <f t="shared" si="2"/>
        <v>2267.3207001655192</v>
      </c>
      <c r="L23" s="719">
        <f t="shared" si="2"/>
        <v>0</v>
      </c>
      <c r="M23" s="719">
        <f t="shared" ca="1" si="2"/>
        <v>0</v>
      </c>
      <c r="N23" s="719">
        <f t="shared" si="2"/>
        <v>13419.838865221396</v>
      </c>
      <c r="O23" s="719">
        <f t="shared" ca="1" si="2"/>
        <v>26252.206377842158</v>
      </c>
      <c r="P23" s="719">
        <f t="shared" si="2"/>
        <v>95.36333333333333</v>
      </c>
      <c r="Q23" s="720">
        <f t="shared" si="2"/>
        <v>533.86666666666667</v>
      </c>
      <c r="R23" s="721">
        <f ca="1">R20+R15+R22</f>
        <v>1104796.5601655282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19140.364777758481</v>
      </c>
      <c r="D36" s="702">
        <f ca="1">tertiair!C20</f>
        <v>8.0969747899159685</v>
      </c>
      <c r="E36" s="702">
        <f ca="1">tertiair!D20</f>
        <v>14155.075804649716</v>
      </c>
      <c r="F36" s="702">
        <f>tertiair!E20</f>
        <v>342.27797298262442</v>
      </c>
      <c r="G36" s="702">
        <f ca="1">tertiair!F20</f>
        <v>4291.3882583797131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37937.203788560451</v>
      </c>
    </row>
    <row r="37" spans="1:18">
      <c r="A37" s="873" t="s">
        <v>226</v>
      </c>
      <c r="B37" s="880"/>
      <c r="C37" s="702">
        <f ca="1">huishoudens!B12</f>
        <v>14782.605716666088</v>
      </c>
      <c r="D37" s="702">
        <f ca="1">huishoudens!C12</f>
        <v>0</v>
      </c>
      <c r="E37" s="702">
        <f>huishoudens!D12</f>
        <v>30119.015215036001</v>
      </c>
      <c r="F37" s="702">
        <f>huishoudens!E12</f>
        <v>1881.8293313679997</v>
      </c>
      <c r="G37" s="702">
        <f>huishoudens!F12</f>
        <v>26795.219759792744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73578.670022862832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18308.456109112158</v>
      </c>
      <c r="D39" s="702">
        <f ca="1">industrie!C22</f>
        <v>0</v>
      </c>
      <c r="E39" s="702">
        <f>industrie!D22</f>
        <v>18522.821834792001</v>
      </c>
      <c r="F39" s="702">
        <f>industrie!E22</f>
        <v>155.46411026785009</v>
      </c>
      <c r="G39" s="702">
        <f>industrie!F22</f>
        <v>3354.1835471900008</v>
      </c>
      <c r="H39" s="702">
        <f>industrie!G22</f>
        <v>0</v>
      </c>
      <c r="I39" s="702">
        <f>industrie!H22</f>
        <v>0</v>
      </c>
      <c r="J39" s="702">
        <f>industrie!I22</f>
        <v>0</v>
      </c>
      <c r="K39" s="702">
        <f>industrie!J22</f>
        <v>526.27406000567464</v>
      </c>
      <c r="L39" s="702">
        <f>industrie!K22</f>
        <v>0</v>
      </c>
      <c r="M39" s="702">
        <f>industrie!L22</f>
        <v>0</v>
      </c>
      <c r="N39" s="702">
        <f>industrie!M22</f>
        <v>0</v>
      </c>
      <c r="O39" s="702">
        <f>industrie!N22</f>
        <v>0</v>
      </c>
      <c r="P39" s="702">
        <f>industrie!O22</f>
        <v>0</v>
      </c>
      <c r="Q39" s="812">
        <f>industrie!P22</f>
        <v>0</v>
      </c>
      <c r="R39" s="906">
        <f ca="1">SUM(C39:Q39)</f>
        <v>40867.199661367682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52231.426603536725</v>
      </c>
      <c r="D41" s="747">
        <f t="shared" ref="D41:R41" ca="1" si="4">SUM(D35:D40)</f>
        <v>8.0969747899159685</v>
      </c>
      <c r="E41" s="747">
        <f t="shared" ca="1" si="4"/>
        <v>62796.91285447772</v>
      </c>
      <c r="F41" s="747">
        <f t="shared" si="4"/>
        <v>2379.5714146184741</v>
      </c>
      <c r="G41" s="747">
        <f t="shared" ca="1" si="4"/>
        <v>34440.791565362459</v>
      </c>
      <c r="H41" s="747">
        <f t="shared" si="4"/>
        <v>0</v>
      </c>
      <c r="I41" s="747">
        <f t="shared" si="4"/>
        <v>0</v>
      </c>
      <c r="J41" s="747">
        <f t="shared" si="4"/>
        <v>0</v>
      </c>
      <c r="K41" s="747">
        <f t="shared" si="4"/>
        <v>526.27406000567464</v>
      </c>
      <c r="L41" s="747">
        <f t="shared" si="4"/>
        <v>0</v>
      </c>
      <c r="M41" s="747">
        <f t="shared" ca="1" si="4"/>
        <v>0</v>
      </c>
      <c r="N41" s="747">
        <f t="shared" si="4"/>
        <v>0</v>
      </c>
      <c r="O41" s="747">
        <f t="shared" ca="1" si="4"/>
        <v>0</v>
      </c>
      <c r="P41" s="747">
        <f t="shared" si="4"/>
        <v>0</v>
      </c>
      <c r="Q41" s="748">
        <f t="shared" si="4"/>
        <v>0</v>
      </c>
      <c r="R41" s="749">
        <f t="shared" ca="1" si="4"/>
        <v>152383.07347279097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1650.623640505308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1650.623640505308</v>
      </c>
    </row>
    <row r="45" spans="1:18" ht="15" thickBot="1">
      <c r="A45" s="876" t="s">
        <v>308</v>
      </c>
      <c r="B45" s="886"/>
      <c r="C45" s="711">
        <f ca="1">transport!B18</f>
        <v>0.58930558429812618</v>
      </c>
      <c r="D45" s="711">
        <f>transport!C18</f>
        <v>0</v>
      </c>
      <c r="E45" s="711">
        <f>transport!D18</f>
        <v>2.8942236126008836</v>
      </c>
      <c r="F45" s="711">
        <f>transport!E18</f>
        <v>327.66923628105212</v>
      </c>
      <c r="G45" s="711">
        <f>transport!F18</f>
        <v>0</v>
      </c>
      <c r="H45" s="711">
        <f>transport!G18</f>
        <v>67757.947045340828</v>
      </c>
      <c r="I45" s="711">
        <f>transport!H18</f>
        <v>11828.247396528388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79917.347207347164</v>
      </c>
    </row>
    <row r="46" spans="1:18" ht="15.75" thickBot="1">
      <c r="A46" s="874" t="s">
        <v>231</v>
      </c>
      <c r="B46" s="887"/>
      <c r="C46" s="747">
        <f t="shared" ref="C46:R46" ca="1" si="5">SUM(C43:C45)</f>
        <v>0.58930558429812618</v>
      </c>
      <c r="D46" s="747">
        <f t="shared" ca="1" si="5"/>
        <v>0</v>
      </c>
      <c r="E46" s="747">
        <f t="shared" si="5"/>
        <v>2.8942236126008836</v>
      </c>
      <c r="F46" s="747">
        <f t="shared" si="5"/>
        <v>327.66923628105212</v>
      </c>
      <c r="G46" s="747">
        <f t="shared" si="5"/>
        <v>0</v>
      </c>
      <c r="H46" s="747">
        <f t="shared" si="5"/>
        <v>69408.570685846134</v>
      </c>
      <c r="I46" s="747">
        <f t="shared" si="5"/>
        <v>11828.247396528388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81567.97084785247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1848.1224337651286</v>
      </c>
      <c r="D48" s="702">
        <f ca="1">+landbouw!C12</f>
        <v>0</v>
      </c>
      <c r="E48" s="702">
        <f>+landbouw!D12</f>
        <v>434.27303057600005</v>
      </c>
      <c r="F48" s="702">
        <f>+landbouw!E12</f>
        <v>20.779608662073016</v>
      </c>
      <c r="G48" s="702">
        <f>+landbouw!F12</f>
        <v>11987.334808098591</v>
      </c>
      <c r="H48" s="702">
        <f>+landbouw!G12</f>
        <v>0</v>
      </c>
      <c r="I48" s="702">
        <f>+landbouw!H12</f>
        <v>0</v>
      </c>
      <c r="J48" s="702">
        <f>+landbouw!I12</f>
        <v>0</v>
      </c>
      <c r="K48" s="702">
        <f>+landbouw!J12</f>
        <v>276.357467852919</v>
      </c>
      <c r="L48" s="702">
        <f>+landbouw!K12</f>
        <v>0</v>
      </c>
      <c r="M48" s="702">
        <f>+landbouw!L12</f>
        <v>0</v>
      </c>
      <c r="N48" s="702">
        <f>+landbouw!M12</f>
        <v>0</v>
      </c>
      <c r="O48" s="702">
        <f>+landbouw!N12</f>
        <v>0</v>
      </c>
      <c r="P48" s="702">
        <f>+landbouw!O12</f>
        <v>0</v>
      </c>
      <c r="Q48" s="703">
        <f>+landbouw!P12</f>
        <v>0</v>
      </c>
      <c r="R48" s="745">
        <f ca="1">SUM(C48:Q48)</f>
        <v>14566.867348954711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54080.138342886152</v>
      </c>
      <c r="D53" s="757">
        <f t="shared" ref="D53:Q53" ca="1" si="6">D41+D46+D48</f>
        <v>8.0969747899159685</v>
      </c>
      <c r="E53" s="757">
        <f t="shared" ca="1" si="6"/>
        <v>63234.08010866632</v>
      </c>
      <c r="F53" s="757">
        <f t="shared" si="6"/>
        <v>2728.0202595615992</v>
      </c>
      <c r="G53" s="757">
        <f t="shared" ca="1" si="6"/>
        <v>46428.126373461047</v>
      </c>
      <c r="H53" s="757">
        <f t="shared" si="6"/>
        <v>69408.570685846134</v>
      </c>
      <c r="I53" s="757">
        <f t="shared" si="6"/>
        <v>11828.247396528388</v>
      </c>
      <c r="J53" s="757">
        <f t="shared" si="6"/>
        <v>0</v>
      </c>
      <c r="K53" s="757">
        <f t="shared" si="6"/>
        <v>802.6315278585937</v>
      </c>
      <c r="L53" s="757">
        <f t="shared" si="6"/>
        <v>0</v>
      </c>
      <c r="M53" s="757">
        <f t="shared" ca="1" si="6"/>
        <v>0</v>
      </c>
      <c r="N53" s="757">
        <f t="shared" si="6"/>
        <v>0</v>
      </c>
      <c r="O53" s="757">
        <f t="shared" ca="1" si="6"/>
        <v>0</v>
      </c>
      <c r="P53" s="757">
        <f>P41+P46+P48</f>
        <v>0</v>
      </c>
      <c r="Q53" s="758">
        <f t="shared" si="6"/>
        <v>0</v>
      </c>
      <c r="R53" s="759">
        <f ca="1">R41+R46+R48</f>
        <v>248517.91166959816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0.21142573228081202</v>
      </c>
      <c r="D55" s="823">
        <f t="shared" ca="1" si="7"/>
        <v>0.23764705882352943</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10801.991111686764</v>
      </c>
      <c r="C66" s="779">
        <f>'lokale energieproductie'!B6</f>
        <v>10801.991111686764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23.85</v>
      </c>
      <c r="C67" s="778">
        <f>B67*IFERROR(SUM(J67:L67)/SUM(D67:M67),0)</f>
        <v>0</v>
      </c>
      <c r="D67" s="810">
        <f>'lokale energieproductie'!C7</f>
        <v>28.058823529411768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69"/>
      <c r="R67" s="726"/>
    </row>
    <row r="68" spans="1:18" ht="30.75" thickBot="1">
      <c r="A68" s="785" t="s">
        <v>354</v>
      </c>
      <c r="B68" s="778">
        <f>'lokale energieproductie'!B8</f>
        <v>810</v>
      </c>
      <c r="C68" s="778">
        <f>B68*IFERROR(SUM(J68:L68)/SUM(D68:M68),0)</f>
        <v>607.5</v>
      </c>
      <c r="D68" s="813">
        <f>'lokale energieproductie'!C8</f>
        <v>578.57142857142856</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1735.7142857142858</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116.87142857142858</v>
      </c>
      <c r="P68" s="913">
        <v>0</v>
      </c>
      <c r="Q68" s="769"/>
      <c r="R68" s="726"/>
    </row>
    <row r="69" spans="1:18" ht="16.5" thickTop="1" thickBot="1">
      <c r="A69" s="786" t="s">
        <v>116</v>
      </c>
      <c r="B69" s="787">
        <f>SUM(B64:B68)</f>
        <v>11635.841111686765</v>
      </c>
      <c r="C69" s="787">
        <f>SUM(C64:C68)</f>
        <v>11409.491111686764</v>
      </c>
      <c r="D69" s="788">
        <f t="shared" ref="D69:M69" si="8">SUM(D67:D68)</f>
        <v>606.63025210084038</v>
      </c>
      <c r="E69" s="788">
        <f t="shared" si="8"/>
        <v>0</v>
      </c>
      <c r="F69" s="788">
        <f t="shared" si="8"/>
        <v>0</v>
      </c>
      <c r="G69" s="788">
        <f t="shared" si="8"/>
        <v>0</v>
      </c>
      <c r="H69" s="788">
        <f t="shared" si="8"/>
        <v>0</v>
      </c>
      <c r="I69" s="788">
        <f t="shared" si="8"/>
        <v>0</v>
      </c>
      <c r="J69" s="788">
        <f t="shared" si="8"/>
        <v>0</v>
      </c>
      <c r="K69" s="788">
        <f t="shared" si="8"/>
        <v>1735.7142857142858</v>
      </c>
      <c r="L69" s="788">
        <f t="shared" si="8"/>
        <v>0</v>
      </c>
      <c r="M69" s="918">
        <f t="shared" si="8"/>
        <v>0</v>
      </c>
      <c r="N69" s="789">
        <v>0</v>
      </c>
      <c r="O69" s="789">
        <f>SUM(O67:O68)</f>
        <v>122.53931092436976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34.071428571428577</v>
      </c>
      <c r="C78" s="801">
        <f>B78*IFERROR(SUM(I78:L78)/SUM(D78:M78),0)</f>
        <v>0</v>
      </c>
      <c r="D78" s="816">
        <f>'lokale energieproductie'!C16</f>
        <v>40.084033613445385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34.071428571428577</v>
      </c>
      <c r="C81" s="787">
        <f>SUM(C78:C80)</f>
        <v>0</v>
      </c>
      <c r="D81" s="787">
        <f t="shared" ref="D81:P81" si="9">SUM(D78:D80)</f>
        <v>40.084033613445385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8.0969747899159685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69918.668636947579</v>
      </c>
      <c r="C4" s="461">
        <f>huishoudens!C8</f>
        <v>0</v>
      </c>
      <c r="D4" s="461">
        <f>huishoudens!D8</f>
        <v>149104.035718</v>
      </c>
      <c r="E4" s="461">
        <f>huishoudens!E8</f>
        <v>8289.9970544845801</v>
      </c>
      <c r="F4" s="461">
        <f>huishoudens!F8</f>
        <v>100356.6283138305</v>
      </c>
      <c r="G4" s="461">
        <f>huishoudens!G8</f>
        <v>0</v>
      </c>
      <c r="H4" s="461">
        <f>huishoudens!H8</f>
        <v>0</v>
      </c>
      <c r="I4" s="461">
        <f>huishoudens!I8</f>
        <v>0</v>
      </c>
      <c r="J4" s="461">
        <f>huishoudens!J8</f>
        <v>0</v>
      </c>
      <c r="K4" s="461">
        <f>huishoudens!K8</f>
        <v>0</v>
      </c>
      <c r="L4" s="461">
        <f>huishoudens!L8</f>
        <v>0</v>
      </c>
      <c r="M4" s="461">
        <f>huishoudens!M8</f>
        <v>0</v>
      </c>
      <c r="N4" s="461">
        <f>huishoudens!N8</f>
        <v>25533.275028060165</v>
      </c>
      <c r="O4" s="461">
        <f>huishoudens!O8</f>
        <v>95.36333333333333</v>
      </c>
      <c r="P4" s="462">
        <f>huishoudens!P8</f>
        <v>495.73333333333335</v>
      </c>
      <c r="Q4" s="463">
        <f>SUM(B4:P4)</f>
        <v>353793.70141798956</v>
      </c>
    </row>
    <row r="5" spans="1:17">
      <c r="A5" s="460" t="s">
        <v>156</v>
      </c>
      <c r="B5" s="461">
        <f ca="1">tertiair!B16</f>
        <v>88094.184999999998</v>
      </c>
      <c r="C5" s="461">
        <f ca="1">tertiair!C16</f>
        <v>34.071428571428577</v>
      </c>
      <c r="D5" s="461">
        <f ca="1">tertiair!D16</f>
        <v>70074.632696285713</v>
      </c>
      <c r="E5" s="461">
        <f>tertiair!E16</f>
        <v>1507.832480099667</v>
      </c>
      <c r="F5" s="461">
        <f ca="1">tertiair!F16</f>
        <v>16072.615199924017</v>
      </c>
      <c r="G5" s="461">
        <f>tertiair!G16</f>
        <v>0</v>
      </c>
      <c r="H5" s="461">
        <f>tertiair!H16</f>
        <v>0</v>
      </c>
      <c r="I5" s="461">
        <f>tertiair!I16</f>
        <v>0</v>
      </c>
      <c r="J5" s="461">
        <f>tertiair!J16</f>
        <v>0</v>
      </c>
      <c r="K5" s="461">
        <f>tertiair!K16</f>
        <v>0</v>
      </c>
      <c r="L5" s="461">
        <f ca="1">tertiair!L16</f>
        <v>0</v>
      </c>
      <c r="M5" s="461">
        <f>tertiair!M16</f>
        <v>0</v>
      </c>
      <c r="N5" s="461">
        <f ca="1">tertiair!N16</f>
        <v>6.76946987956876</v>
      </c>
      <c r="O5" s="461">
        <f>tertiair!O16</f>
        <v>0</v>
      </c>
      <c r="P5" s="462">
        <f>tertiair!P16</f>
        <v>38.133333333333333</v>
      </c>
      <c r="Q5" s="460">
        <f t="shared" ref="Q5:Q13" ca="1" si="0">SUM(B5:P5)</f>
        <v>175828.23960809372</v>
      </c>
    </row>
    <row r="6" spans="1:17">
      <c r="A6" s="460" t="s">
        <v>195</v>
      </c>
      <c r="B6" s="461">
        <f>'openbare verlichting'!B8</f>
        <v>2435.7829999999999</v>
      </c>
      <c r="C6" s="461"/>
      <c r="D6" s="461"/>
      <c r="E6" s="461"/>
      <c r="F6" s="461"/>
      <c r="G6" s="461"/>
      <c r="H6" s="461"/>
      <c r="I6" s="461"/>
      <c r="J6" s="461"/>
      <c r="K6" s="461"/>
      <c r="L6" s="461"/>
      <c r="M6" s="461"/>
      <c r="N6" s="461"/>
      <c r="O6" s="461"/>
      <c r="P6" s="462"/>
      <c r="Q6" s="460">
        <f t="shared" si="0"/>
        <v>2435.7829999999999</v>
      </c>
    </row>
    <row r="7" spans="1:17">
      <c r="A7" s="460" t="s">
        <v>112</v>
      </c>
      <c r="B7" s="461">
        <f>landbouw!B8</f>
        <v>8741.2369999999992</v>
      </c>
      <c r="C7" s="461">
        <f>landbouw!C8</f>
        <v>0</v>
      </c>
      <c r="D7" s="461">
        <f>landbouw!D8</f>
        <v>2149.8664880000001</v>
      </c>
      <c r="E7" s="461">
        <f>landbouw!E8</f>
        <v>91.540126264638843</v>
      </c>
      <c r="F7" s="461">
        <f>landbouw!F8</f>
        <v>44896.385049058386</v>
      </c>
      <c r="G7" s="461">
        <f>landbouw!G8</f>
        <v>0</v>
      </c>
      <c r="H7" s="461">
        <f>landbouw!H8</f>
        <v>0</v>
      </c>
      <c r="I7" s="461">
        <f>landbouw!I8</f>
        <v>0</v>
      </c>
      <c r="J7" s="461">
        <f>landbouw!J8</f>
        <v>780.67081314383904</v>
      </c>
      <c r="K7" s="461">
        <f>landbouw!K8</f>
        <v>0</v>
      </c>
      <c r="L7" s="461">
        <f>landbouw!L8</f>
        <v>0</v>
      </c>
      <c r="M7" s="461">
        <f>landbouw!M8</f>
        <v>0</v>
      </c>
      <c r="N7" s="461">
        <f>landbouw!N8</f>
        <v>0</v>
      </c>
      <c r="O7" s="461">
        <f>landbouw!O8</f>
        <v>0</v>
      </c>
      <c r="P7" s="462">
        <f>landbouw!P8</f>
        <v>0</v>
      </c>
      <c r="Q7" s="460">
        <f t="shared" si="0"/>
        <v>56659.699476466863</v>
      </c>
    </row>
    <row r="8" spans="1:17">
      <c r="A8" s="460" t="s">
        <v>656</v>
      </c>
      <c r="B8" s="461">
        <f>industrie!B18</f>
        <v>86595.211999999985</v>
      </c>
      <c r="C8" s="461">
        <f>industrie!C18</f>
        <v>0</v>
      </c>
      <c r="D8" s="461">
        <f>industrie!D18</f>
        <v>91697.137795999995</v>
      </c>
      <c r="E8" s="461">
        <f>industrie!E18</f>
        <v>684.86392188480215</v>
      </c>
      <c r="F8" s="461">
        <f>industrie!F18</f>
        <v>12562.485195468167</v>
      </c>
      <c r="G8" s="461">
        <f>industrie!G18</f>
        <v>0</v>
      </c>
      <c r="H8" s="461">
        <f>industrie!H18</f>
        <v>0</v>
      </c>
      <c r="I8" s="461">
        <f>industrie!I18</f>
        <v>0</v>
      </c>
      <c r="J8" s="461">
        <f>industrie!J18</f>
        <v>1486.6498870216799</v>
      </c>
      <c r="K8" s="461">
        <f>industrie!K18</f>
        <v>0</v>
      </c>
      <c r="L8" s="461">
        <f>industrie!L18</f>
        <v>0</v>
      </c>
      <c r="M8" s="461">
        <f>industrie!M18</f>
        <v>0</v>
      </c>
      <c r="N8" s="461">
        <f>industrie!N18</f>
        <v>712.16187990242645</v>
      </c>
      <c r="O8" s="461">
        <f>industrie!O18</f>
        <v>0</v>
      </c>
      <c r="P8" s="462">
        <f>industrie!P18</f>
        <v>0</v>
      </c>
      <c r="Q8" s="460">
        <f t="shared" si="0"/>
        <v>193738.51068027708</v>
      </c>
    </row>
    <row r="9" spans="1:17" s="466" customFormat="1">
      <c r="A9" s="464" t="s">
        <v>574</v>
      </c>
      <c r="B9" s="465">
        <f>transport!B14</f>
        <v>2.7872935708479449</v>
      </c>
      <c r="C9" s="465">
        <f>transport!C14</f>
        <v>0</v>
      </c>
      <c r="D9" s="465">
        <f>transport!D14</f>
        <v>14.327839666341006</v>
      </c>
      <c r="E9" s="465">
        <f>transport!E14</f>
        <v>1443.4768118108022</v>
      </c>
      <c r="F9" s="465">
        <f>transport!F14</f>
        <v>0</v>
      </c>
      <c r="G9" s="465">
        <f>transport!G14</f>
        <v>253775.08256681959</v>
      </c>
      <c r="H9" s="465">
        <f>transport!H14</f>
        <v>47503.001592483488</v>
      </c>
      <c r="I9" s="465">
        <f>transport!I14</f>
        <v>0</v>
      </c>
      <c r="J9" s="465">
        <f>transport!J14</f>
        <v>0</v>
      </c>
      <c r="K9" s="465">
        <f>transport!K14</f>
        <v>0</v>
      </c>
      <c r="L9" s="465">
        <f>transport!L14</f>
        <v>0</v>
      </c>
      <c r="M9" s="465">
        <f>transport!M14</f>
        <v>13156.322330768158</v>
      </c>
      <c r="N9" s="465">
        <f>transport!N14</f>
        <v>0</v>
      </c>
      <c r="O9" s="465">
        <f>transport!O14</f>
        <v>0</v>
      </c>
      <c r="P9" s="465">
        <f>transport!P14</f>
        <v>0</v>
      </c>
      <c r="Q9" s="464">
        <f>SUM(B9:P9)</f>
        <v>315894.99843511923</v>
      </c>
    </row>
    <row r="10" spans="1:17">
      <c r="A10" s="460" t="s">
        <v>564</v>
      </c>
      <c r="B10" s="461">
        <f>transport!B54</f>
        <v>0</v>
      </c>
      <c r="C10" s="461">
        <f>transport!C54</f>
        <v>0</v>
      </c>
      <c r="D10" s="461">
        <f>transport!D54</f>
        <v>0</v>
      </c>
      <c r="E10" s="461">
        <f>transport!E54</f>
        <v>0</v>
      </c>
      <c r="F10" s="461">
        <f>transport!F54</f>
        <v>0</v>
      </c>
      <c r="G10" s="461">
        <f>transport!G54</f>
        <v>6182.1110131284941</v>
      </c>
      <c r="H10" s="461">
        <f>transport!H54</f>
        <v>0</v>
      </c>
      <c r="I10" s="461">
        <f>transport!I54</f>
        <v>0</v>
      </c>
      <c r="J10" s="461">
        <f>transport!J54</f>
        <v>0</v>
      </c>
      <c r="K10" s="461">
        <f>transport!K54</f>
        <v>0</v>
      </c>
      <c r="L10" s="461">
        <f>transport!L54</f>
        <v>0</v>
      </c>
      <c r="M10" s="461">
        <f>transport!M54</f>
        <v>263.5165344532378</v>
      </c>
      <c r="N10" s="461">
        <f>transport!N54</f>
        <v>0</v>
      </c>
      <c r="O10" s="461">
        <f>transport!O54</f>
        <v>0</v>
      </c>
      <c r="P10" s="462">
        <f>transport!P54</f>
        <v>0</v>
      </c>
      <c r="Q10" s="460">
        <f t="shared" si="0"/>
        <v>6445.627547581732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255787.87293051838</v>
      </c>
      <c r="C14" s="471">
        <f t="shared" ref="C14:Q14" ca="1" si="1">SUM(C4:C13)</f>
        <v>34.071428571428577</v>
      </c>
      <c r="D14" s="471">
        <f t="shared" ca="1" si="1"/>
        <v>313040.000537952</v>
      </c>
      <c r="E14" s="471">
        <f t="shared" si="1"/>
        <v>12017.710394544491</v>
      </c>
      <c r="F14" s="471">
        <f t="shared" ca="1" si="1"/>
        <v>173888.11375828108</v>
      </c>
      <c r="G14" s="471">
        <f t="shared" si="1"/>
        <v>259957.19357994807</v>
      </c>
      <c r="H14" s="471">
        <f t="shared" si="1"/>
        <v>47503.001592483488</v>
      </c>
      <c r="I14" s="471">
        <f t="shared" si="1"/>
        <v>0</v>
      </c>
      <c r="J14" s="471">
        <f t="shared" si="1"/>
        <v>2267.3207001655192</v>
      </c>
      <c r="K14" s="471">
        <f t="shared" si="1"/>
        <v>0</v>
      </c>
      <c r="L14" s="471">
        <f t="shared" ca="1" si="1"/>
        <v>0</v>
      </c>
      <c r="M14" s="471">
        <f t="shared" si="1"/>
        <v>13419.838865221396</v>
      </c>
      <c r="N14" s="471">
        <f t="shared" ca="1" si="1"/>
        <v>26252.206377842158</v>
      </c>
      <c r="O14" s="471">
        <f t="shared" si="1"/>
        <v>95.36333333333333</v>
      </c>
      <c r="P14" s="472">
        <f t="shared" si="1"/>
        <v>533.86666666666667</v>
      </c>
      <c r="Q14" s="472">
        <f t="shared" ca="1" si="1"/>
        <v>1104796.5601655282</v>
      </c>
    </row>
    <row r="16" spans="1:17">
      <c r="A16" s="474" t="s">
        <v>569</v>
      </c>
      <c r="B16" s="828">
        <f ca="1">huishoudens!B10</f>
        <v>0.21142573228081205</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14782.605716666088</v>
      </c>
      <c r="C21" s="461">
        <f t="shared" ref="C21:C30" ca="1" si="3">C4*$C$16</f>
        <v>0</v>
      </c>
      <c r="D21" s="461">
        <f t="shared" ref="D21:D30" si="4">D4*$D$16</f>
        <v>30119.015215036001</v>
      </c>
      <c r="E21" s="461">
        <f t="shared" ref="E21:E30" si="5">E4*$E$16</f>
        <v>1881.8293313679997</v>
      </c>
      <c r="F21" s="461">
        <f t="shared" ref="F21:F30" si="6">F4*$F$16</f>
        <v>26795.219759792744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73578.670022862832</v>
      </c>
    </row>
    <row r="22" spans="1:17">
      <c r="A22" s="460" t="s">
        <v>156</v>
      </c>
      <c r="B22" s="461">
        <f t="shared" ca="1" si="2"/>
        <v>18625.377573306327</v>
      </c>
      <c r="C22" s="461">
        <f t="shared" ca="1" si="3"/>
        <v>8.0969747899159685</v>
      </c>
      <c r="D22" s="461">
        <f t="shared" ca="1" si="4"/>
        <v>14155.075804649716</v>
      </c>
      <c r="E22" s="461">
        <f t="shared" si="5"/>
        <v>342.27797298262442</v>
      </c>
      <c r="F22" s="461">
        <f t="shared" ca="1" si="6"/>
        <v>4291.3882583797131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37422.21658410829</v>
      </c>
    </row>
    <row r="23" spans="1:17">
      <c r="A23" s="460" t="s">
        <v>195</v>
      </c>
      <c r="B23" s="461">
        <f t="shared" ca="1" si="2"/>
        <v>514.98720445215315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514.98720445215315</v>
      </c>
    </row>
    <row r="24" spans="1:17">
      <c r="A24" s="460" t="s">
        <v>112</v>
      </c>
      <c r="B24" s="461">
        <f t="shared" ca="1" si="2"/>
        <v>1848.1224337651286</v>
      </c>
      <c r="C24" s="461">
        <f t="shared" ca="1" si="3"/>
        <v>0</v>
      </c>
      <c r="D24" s="461">
        <f t="shared" si="4"/>
        <v>434.27303057600005</v>
      </c>
      <c r="E24" s="461">
        <f t="shared" si="5"/>
        <v>20.779608662073016</v>
      </c>
      <c r="F24" s="461">
        <f t="shared" si="6"/>
        <v>11987.334808098591</v>
      </c>
      <c r="G24" s="461">
        <f t="shared" si="7"/>
        <v>0</v>
      </c>
      <c r="H24" s="461">
        <f t="shared" si="8"/>
        <v>0</v>
      </c>
      <c r="I24" s="461">
        <f t="shared" si="9"/>
        <v>0</v>
      </c>
      <c r="J24" s="461">
        <f t="shared" si="10"/>
        <v>276.357467852919</v>
      </c>
      <c r="K24" s="461">
        <f t="shared" si="11"/>
        <v>0</v>
      </c>
      <c r="L24" s="461">
        <f t="shared" si="12"/>
        <v>0</v>
      </c>
      <c r="M24" s="461">
        <f t="shared" si="13"/>
        <v>0</v>
      </c>
      <c r="N24" s="461">
        <f t="shared" si="14"/>
        <v>0</v>
      </c>
      <c r="O24" s="461">
        <f t="shared" si="15"/>
        <v>0</v>
      </c>
      <c r="P24" s="462">
        <f t="shared" si="16"/>
        <v>0</v>
      </c>
      <c r="Q24" s="460">
        <f t="shared" ca="1" si="17"/>
        <v>14566.867348954711</v>
      </c>
    </row>
    <row r="25" spans="1:17">
      <c r="A25" s="460" t="s">
        <v>656</v>
      </c>
      <c r="B25" s="461">
        <f t="shared" ca="1" si="2"/>
        <v>18308.456109112158</v>
      </c>
      <c r="C25" s="461">
        <f t="shared" ca="1" si="3"/>
        <v>0</v>
      </c>
      <c r="D25" s="461">
        <f t="shared" si="4"/>
        <v>18522.821834792001</v>
      </c>
      <c r="E25" s="461">
        <f t="shared" si="5"/>
        <v>155.46411026785009</v>
      </c>
      <c r="F25" s="461">
        <f t="shared" si="6"/>
        <v>3354.1835471900008</v>
      </c>
      <c r="G25" s="461">
        <f t="shared" si="7"/>
        <v>0</v>
      </c>
      <c r="H25" s="461">
        <f t="shared" si="8"/>
        <v>0</v>
      </c>
      <c r="I25" s="461">
        <f t="shared" si="9"/>
        <v>0</v>
      </c>
      <c r="J25" s="461">
        <f t="shared" si="10"/>
        <v>526.27406000567464</v>
      </c>
      <c r="K25" s="461">
        <f t="shared" si="11"/>
        <v>0</v>
      </c>
      <c r="L25" s="461">
        <f t="shared" si="12"/>
        <v>0</v>
      </c>
      <c r="M25" s="461">
        <f t="shared" si="13"/>
        <v>0</v>
      </c>
      <c r="N25" s="461">
        <f t="shared" si="14"/>
        <v>0</v>
      </c>
      <c r="O25" s="461">
        <f t="shared" si="15"/>
        <v>0</v>
      </c>
      <c r="P25" s="462">
        <f t="shared" si="16"/>
        <v>0</v>
      </c>
      <c r="Q25" s="460">
        <f t="shared" ca="1" si="17"/>
        <v>40867.199661367682</v>
      </c>
    </row>
    <row r="26" spans="1:17" s="466" customFormat="1">
      <c r="A26" s="464" t="s">
        <v>574</v>
      </c>
      <c r="B26" s="822">
        <f t="shared" ca="1" si="2"/>
        <v>0.58930558429812618</v>
      </c>
      <c r="C26" s="465">
        <f t="shared" ca="1" si="3"/>
        <v>0</v>
      </c>
      <c r="D26" s="465">
        <f t="shared" si="4"/>
        <v>2.8942236126008836</v>
      </c>
      <c r="E26" s="465">
        <f t="shared" si="5"/>
        <v>327.66923628105212</v>
      </c>
      <c r="F26" s="465">
        <f t="shared" si="6"/>
        <v>0</v>
      </c>
      <c r="G26" s="465">
        <f t="shared" si="7"/>
        <v>67757.947045340828</v>
      </c>
      <c r="H26" s="465">
        <f t="shared" si="8"/>
        <v>11828.247396528388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79917.347207347164</v>
      </c>
    </row>
    <row r="27" spans="1:17">
      <c r="A27" s="460" t="s">
        <v>564</v>
      </c>
      <c r="B27" s="461">
        <f t="shared" ca="1" si="2"/>
        <v>0</v>
      </c>
      <c r="C27" s="461">
        <f t="shared" ca="1" si="3"/>
        <v>0</v>
      </c>
      <c r="D27" s="461">
        <f t="shared" si="4"/>
        <v>0</v>
      </c>
      <c r="E27" s="461">
        <f t="shared" si="5"/>
        <v>0</v>
      </c>
      <c r="F27" s="461">
        <f t="shared" si="6"/>
        <v>0</v>
      </c>
      <c r="G27" s="461">
        <f t="shared" si="7"/>
        <v>1650.623640505308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1650.623640505308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54080.138342886152</v>
      </c>
      <c r="C31" s="471">
        <f t="shared" ca="1" si="18"/>
        <v>8.0969747899159685</v>
      </c>
      <c r="D31" s="471">
        <f t="shared" ca="1" si="18"/>
        <v>63234.080108666312</v>
      </c>
      <c r="E31" s="471">
        <f t="shared" si="18"/>
        <v>2728.0202595615992</v>
      </c>
      <c r="F31" s="471">
        <f t="shared" ca="1" si="18"/>
        <v>46428.126373461047</v>
      </c>
      <c r="G31" s="471">
        <f t="shared" si="18"/>
        <v>69408.570685846134</v>
      </c>
      <c r="H31" s="471">
        <f t="shared" si="18"/>
        <v>11828.247396528388</v>
      </c>
      <c r="I31" s="471">
        <f t="shared" si="18"/>
        <v>0</v>
      </c>
      <c r="J31" s="471">
        <f t="shared" si="18"/>
        <v>802.6315278585937</v>
      </c>
      <c r="K31" s="471">
        <f t="shared" si="18"/>
        <v>0</v>
      </c>
      <c r="L31" s="471">
        <f t="shared" ca="1" si="18"/>
        <v>0</v>
      </c>
      <c r="M31" s="471">
        <f t="shared" si="18"/>
        <v>0</v>
      </c>
      <c r="N31" s="471">
        <f t="shared" ca="1" si="18"/>
        <v>0</v>
      </c>
      <c r="O31" s="471">
        <f t="shared" si="18"/>
        <v>0</v>
      </c>
      <c r="P31" s="472">
        <f t="shared" si="18"/>
        <v>0</v>
      </c>
      <c r="Q31" s="472">
        <f t="shared" ca="1" si="18"/>
        <v>248517.91166959814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0.21142573228081205</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0.21142573228081205</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0.21142573228081205</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2018-06-27T09:03:10Z</dcterms:modified>
</cp:coreProperties>
</file>