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18\3 Werkdocumenten\herziening inventaris 2011\Rapporten\"/>
    </mc:Choice>
  </mc:AlternateContent>
  <bookViews>
    <workbookView xWindow="-15" yWindow="6060" windowWidth="29040" windowHeight="6105" tabRatio="598" firstSheet="10" activeTab="11"/>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71027" calcMode="manual"/>
</workbook>
</file>

<file path=xl/calcChain.xml><?xml version="1.0" encoding="utf-8"?>
<calcChain xmlns="http://schemas.openxmlformats.org/spreadsheetml/2006/main">
  <c r="H14" i="15" l="1"/>
  <c r="H16" i="15" s="1"/>
  <c r="G14" i="15"/>
  <c r="G16" i="15" s="1"/>
  <c r="B6" i="6"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4" i="50" s="1"/>
  <c r="E33" i="50"/>
  <c r="E32" i="50" s="1"/>
  <c r="E31" i="50"/>
  <c r="E30" i="50" s="1"/>
  <c r="E29" i="50"/>
  <c r="E28" i="50" s="1"/>
  <c r="E75" i="22" l="1"/>
  <c r="E77" i="22"/>
  <c r="D75" i="22" l="1"/>
  <c r="D74" i="22"/>
  <c r="C42" i="22"/>
  <c r="H10" i="22" l="1"/>
  <c r="H11" i="22"/>
  <c r="H8" i="22"/>
  <c r="H6" i="22"/>
  <c r="H7" i="22"/>
  <c r="H9" i="22"/>
  <c r="B28" i="17"/>
  <c r="B27" i="17"/>
  <c r="B26" i="17"/>
  <c r="B31" i="19" l="1"/>
  <c r="B24" i="19"/>
  <c r="Q17" i="14" l="1"/>
  <c r="P17" i="14"/>
  <c r="O17" i="14"/>
  <c r="M17" i="14"/>
  <c r="L17" i="14"/>
  <c r="K17" i="14"/>
  <c r="J17" i="14"/>
  <c r="G17" i="14"/>
  <c r="D17" i="14"/>
  <c r="P13" i="48"/>
  <c r="O13" i="48"/>
  <c r="N13" i="48"/>
  <c r="L13" i="48"/>
  <c r="K13" i="48"/>
  <c r="J13" i="48"/>
  <c r="I13" i="48"/>
  <c r="F13" i="48"/>
  <c r="C13" i="48"/>
  <c r="P81" i="14" l="1"/>
  <c r="P69" i="14"/>
  <c r="R40" i="14" l="1"/>
  <c r="Q48" i="14"/>
  <c r="P48" i="14"/>
  <c r="L48" i="14"/>
  <c r="J48" i="14"/>
  <c r="I48" i="14"/>
  <c r="H48" i="14"/>
  <c r="Q22" i="14"/>
  <c r="P22" i="14"/>
  <c r="N22" i="14"/>
  <c r="L22" i="14"/>
  <c r="J22" i="14"/>
  <c r="I22" i="14"/>
  <c r="H22" i="14"/>
  <c r="B46" i="15" l="1"/>
  <c r="B69" i="13"/>
  <c r="B35" i="19" l="1"/>
  <c r="B26" i="19"/>
  <c r="B27" i="19" s="1"/>
  <c r="B6" i="13" l="1"/>
  <c r="B17" i="17" l="1"/>
  <c r="B34" i="17" l="1"/>
  <c r="B18" i="13" l="1"/>
  <c r="B19" i="13"/>
  <c r="B20" i="13"/>
  <c r="B21" i="13"/>
  <c r="B6" i="16" l="1"/>
  <c r="W91" i="18" l="1"/>
  <c r="V91" i="18"/>
  <c r="U91" i="18"/>
  <c r="T91" i="18"/>
  <c r="S91" i="18"/>
  <c r="R91" i="18"/>
  <c r="Q91" i="18"/>
  <c r="P91" i="18"/>
  <c r="O91" i="18"/>
  <c r="N91" i="18"/>
  <c r="M91" i="18"/>
  <c r="W90" i="18"/>
  <c r="V90" i="18"/>
  <c r="U90" i="18"/>
  <c r="T90" i="18"/>
  <c r="S90" i="18"/>
  <c r="R90" i="18"/>
  <c r="Q90" i="18"/>
  <c r="P90" i="18"/>
  <c r="O90" i="18"/>
  <c r="N90" i="18"/>
  <c r="M90" i="18"/>
  <c r="W89" i="18"/>
  <c r="V89" i="18"/>
  <c r="U89" i="18"/>
  <c r="T89" i="18"/>
  <c r="S89" i="18"/>
  <c r="R89" i="18"/>
  <c r="Q89" i="18"/>
  <c r="P89" i="18"/>
  <c r="O89" i="18"/>
  <c r="N89" i="18"/>
  <c r="M89" i="18"/>
  <c r="W88" i="18"/>
  <c r="H8" i="18" s="1"/>
  <c r="V88" i="18"/>
  <c r="U88" i="18"/>
  <c r="I8" i="18" s="1"/>
  <c r="J68" i="14" s="1"/>
  <c r="T88" i="18"/>
  <c r="S88" i="18"/>
  <c r="E8" i="18" s="1"/>
  <c r="F68" i="14" s="1"/>
  <c r="R88" i="18"/>
  <c r="Q88" i="18"/>
  <c r="P88" i="18"/>
  <c r="C8" i="18" s="1"/>
  <c r="D68" i="14" s="1"/>
  <c r="O88" i="18"/>
  <c r="N88" i="18"/>
  <c r="B8" i="18" s="1"/>
  <c r="M88" i="18"/>
  <c r="W60" i="18"/>
  <c r="V60" i="18"/>
  <c r="U60" i="18"/>
  <c r="T60" i="18"/>
  <c r="S60" i="18"/>
  <c r="F6" i="17" s="1"/>
  <c r="R60" i="18"/>
  <c r="Q60" i="18"/>
  <c r="P60" i="18"/>
  <c r="D6" i="17" s="1"/>
  <c r="O60" i="18"/>
  <c r="N60" i="18"/>
  <c r="M60" i="18"/>
  <c r="W59" i="18"/>
  <c r="V59" i="18"/>
  <c r="U59" i="18"/>
  <c r="T59" i="18"/>
  <c r="S59" i="18"/>
  <c r="F13" i="15" s="1"/>
  <c r="R59" i="18"/>
  <c r="Q59" i="18"/>
  <c r="P59" i="18"/>
  <c r="O59" i="18"/>
  <c r="N59" i="18"/>
  <c r="B13" i="15" s="1"/>
  <c r="M59" i="18"/>
  <c r="W58" i="18"/>
  <c r="V58" i="18"/>
  <c r="U58" i="18"/>
  <c r="T58" i="18"/>
  <c r="S58" i="18"/>
  <c r="R58" i="18"/>
  <c r="Q58" i="18"/>
  <c r="P58" i="18"/>
  <c r="D16" i="16" s="1"/>
  <c r="O58" i="18"/>
  <c r="N58" i="18"/>
  <c r="B16" i="16" s="1"/>
  <c r="M58" i="18"/>
  <c r="W57" i="18"/>
  <c r="V57" i="18"/>
  <c r="U57" i="18"/>
  <c r="T57" i="18"/>
  <c r="S57" i="18"/>
  <c r="R57" i="18"/>
  <c r="Q57" i="18"/>
  <c r="P57" i="18"/>
  <c r="O57" i="18"/>
  <c r="B97" i="18" s="1"/>
  <c r="N57" i="18"/>
  <c r="M57" i="18"/>
  <c r="K21" i="18"/>
  <c r="J21" i="18"/>
  <c r="I21" i="18"/>
  <c r="H21" i="18"/>
  <c r="G21" i="18"/>
  <c r="F21" i="18"/>
  <c r="E21" i="18"/>
  <c r="D21" i="18"/>
  <c r="C21" i="18"/>
  <c r="L18" i="18"/>
  <c r="M80" i="14" s="1"/>
  <c r="K18" i="18"/>
  <c r="L80" i="14" s="1"/>
  <c r="J18" i="18"/>
  <c r="K80" i="14" s="1"/>
  <c r="I18" i="18"/>
  <c r="J80" i="14" s="1"/>
  <c r="H18" i="18"/>
  <c r="I80" i="14" s="1"/>
  <c r="G18" i="18"/>
  <c r="H80" i="14" s="1"/>
  <c r="F18" i="18"/>
  <c r="E18" i="18"/>
  <c r="F80" i="14" s="1"/>
  <c r="D18" i="18"/>
  <c r="E80" i="14" s="1"/>
  <c r="C18" i="18"/>
  <c r="D80" i="14" s="1"/>
  <c r="B18" i="18"/>
  <c r="B80" i="14" s="1"/>
  <c r="L17" i="18"/>
  <c r="K17" i="18"/>
  <c r="J17" i="18"/>
  <c r="I17" i="18"/>
  <c r="H17" i="18"/>
  <c r="I79" i="14" s="1"/>
  <c r="G17" i="18"/>
  <c r="F17" i="18"/>
  <c r="G79" i="14" s="1"/>
  <c r="E17" i="18"/>
  <c r="D17" i="18"/>
  <c r="E79" i="14" s="1"/>
  <c r="C17" i="18"/>
  <c r="B17" i="18"/>
  <c r="K11" i="18"/>
  <c r="J11" i="18"/>
  <c r="I11" i="18"/>
  <c r="H11" i="18"/>
  <c r="G11" i="18"/>
  <c r="F11" i="18"/>
  <c r="E11" i="18"/>
  <c r="D11" i="18"/>
  <c r="C11" i="18"/>
  <c r="L8" i="18"/>
  <c r="L9" i="18" s="1"/>
  <c r="K8" i="18"/>
  <c r="K9" i="18" s="1"/>
  <c r="G8" i="18"/>
  <c r="G9" i="18" s="1"/>
  <c r="F8" i="18"/>
  <c r="F9" i="18" s="1"/>
  <c r="D8" i="18"/>
  <c r="D9" i="18" s="1"/>
  <c r="B6" i="18"/>
  <c r="B5" i="18"/>
  <c r="B4" i="18"/>
  <c r="B64" i="14" s="1"/>
  <c r="A78" i="22"/>
  <c r="C77" i="22"/>
  <c r="A77" i="22"/>
  <c r="A76" i="22"/>
  <c r="A75" i="22"/>
  <c r="E74"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K10" i="48" s="1"/>
  <c r="J50" i="22"/>
  <c r="J54" i="22" s="1"/>
  <c r="I50" i="22"/>
  <c r="I54" i="22" s="1"/>
  <c r="H50" i="22"/>
  <c r="H54" i="22" s="1"/>
  <c r="F50" i="22"/>
  <c r="F54" i="22" s="1"/>
  <c r="F10" i="48" s="1"/>
  <c r="E50" i="22"/>
  <c r="E54" i="22" s="1"/>
  <c r="D50" i="22"/>
  <c r="D54" i="22" s="1"/>
  <c r="C50" i="22"/>
  <c r="C54" i="22" s="1"/>
  <c r="C35" i="22"/>
  <c r="N16" i="22"/>
  <c r="M16" i="22"/>
  <c r="L16" i="22"/>
  <c r="K16" i="22"/>
  <c r="J16" i="22"/>
  <c r="I16" i="22"/>
  <c r="H16" i="22"/>
  <c r="G16" i="22"/>
  <c r="F16" i="22"/>
  <c r="E16" i="22"/>
  <c r="D16" i="22"/>
  <c r="H5" i="22"/>
  <c r="B29" i="17"/>
  <c r="C29" i="17" s="1"/>
  <c r="C28" i="17"/>
  <c r="C27" i="17"/>
  <c r="C26" i="17"/>
  <c r="J5" i="17"/>
  <c r="M12" i="17"/>
  <c r="N48" i="14" s="1"/>
  <c r="N10" i="17"/>
  <c r="M10" i="17"/>
  <c r="L10" i="17"/>
  <c r="K10" i="17"/>
  <c r="J10" i="17"/>
  <c r="I10" i="17"/>
  <c r="H10" i="17"/>
  <c r="G10" i="17"/>
  <c r="F10" i="17"/>
  <c r="E10" i="17"/>
  <c r="D10" i="17"/>
  <c r="F5" i="17"/>
  <c r="D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39" i="14" s="1"/>
  <c r="L20" i="16"/>
  <c r="K20" i="16"/>
  <c r="J20" i="16"/>
  <c r="I20" i="16"/>
  <c r="H20" i="16"/>
  <c r="G20" i="16"/>
  <c r="F20" i="16"/>
  <c r="E20" i="16"/>
  <c r="D20" i="16"/>
  <c r="C16" i="16"/>
  <c r="D15" i="16"/>
  <c r="D14" i="16"/>
  <c r="D13" i="16"/>
  <c r="D12" i="16"/>
  <c r="D11" i="16"/>
  <c r="B11" i="16"/>
  <c r="D10" i="16"/>
  <c r="D9" i="16"/>
  <c r="E8" i="16"/>
  <c r="D8" i="16"/>
  <c r="D7" i="16"/>
  <c r="D6" i="16"/>
  <c r="C5" i="16"/>
  <c r="B40" i="15"/>
  <c r="B38"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6" i="48" s="1"/>
  <c r="N29" i="48" s="1"/>
  <c r="M10" i="13"/>
  <c r="L10" i="13"/>
  <c r="L12" i="13" s="1"/>
  <c r="M37" i="14" s="1"/>
  <c r="K10" i="13"/>
  <c r="J10" i="13"/>
  <c r="J16" i="48" s="1"/>
  <c r="J29" i="48" s="1"/>
  <c r="I10" i="13"/>
  <c r="I16" i="48" s="1"/>
  <c r="H10" i="13"/>
  <c r="H16" i="48" s="1"/>
  <c r="G10" i="13"/>
  <c r="G16" i="48" s="1"/>
  <c r="F10" i="13"/>
  <c r="F16" i="48" s="1"/>
  <c r="F29" i="48" s="1"/>
  <c r="E10" i="13"/>
  <c r="E16" i="48" s="1"/>
  <c r="D10" i="13"/>
  <c r="D16" i="48" s="1"/>
  <c r="M8" i="13"/>
  <c r="L8" i="13"/>
  <c r="M11" i="14" s="1"/>
  <c r="O5" i="13"/>
  <c r="O8" i="13" s="1"/>
  <c r="O4" i="48" s="1"/>
  <c r="D5" i="13"/>
  <c r="D8" i="13" s="1"/>
  <c r="C5" i="13"/>
  <c r="C8" i="13" s="1"/>
  <c r="B5" i="13"/>
  <c r="B8" i="13" s="1"/>
  <c r="B5" i="9"/>
  <c r="B19" i="6"/>
  <c r="B18" i="6"/>
  <c r="B5" i="6"/>
  <c r="C25"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H12" i="22" s="1"/>
  <c r="G26" i="20"/>
  <c r="E26" i="20"/>
  <c r="E27" i="20" s="1"/>
  <c r="D26" i="20"/>
  <c r="D27" i="20" s="1"/>
  <c r="B26" i="20"/>
  <c r="B27" i="20" s="1"/>
  <c r="N17" i="49"/>
  <c r="M17" i="49"/>
  <c r="L17" i="49"/>
  <c r="K17" i="49"/>
  <c r="J17" i="49"/>
  <c r="I17" i="49"/>
  <c r="F17" i="49"/>
  <c r="E17" i="49"/>
  <c r="D17" i="49"/>
  <c r="B15" i="49"/>
  <c r="B6" i="9" s="1"/>
  <c r="B8" i="9" s="1"/>
  <c r="N17" i="19"/>
  <c r="M17" i="19"/>
  <c r="L17" i="19"/>
  <c r="L19" i="19" s="1"/>
  <c r="M35" i="14" s="1"/>
  <c r="K17" i="19"/>
  <c r="J17" i="19"/>
  <c r="I17" i="19"/>
  <c r="F17" i="19"/>
  <c r="F19" i="19" s="1"/>
  <c r="G35" i="14" s="1"/>
  <c r="E17" i="19"/>
  <c r="D17" i="19"/>
  <c r="P19" i="19"/>
  <c r="Q35" i="14" s="1"/>
  <c r="P35" i="14"/>
  <c r="N15" i="19"/>
  <c r="N14" i="15" s="1"/>
  <c r="M15" i="19"/>
  <c r="M14" i="15" s="1"/>
  <c r="M16" i="15" s="1"/>
  <c r="L15" i="19"/>
  <c r="L14" i="15" s="1"/>
  <c r="K15" i="19"/>
  <c r="K14" i="15" s="1"/>
  <c r="K16" i="15" s="1"/>
  <c r="L10" i="14" s="1"/>
  <c r="J15" i="19"/>
  <c r="J14" i="15" s="1"/>
  <c r="I15" i="19"/>
  <c r="I14" i="15" s="1"/>
  <c r="I16" i="15" s="1"/>
  <c r="J10" i="14" s="1"/>
  <c r="F15" i="19"/>
  <c r="F14" i="15" s="1"/>
  <c r="E15" i="19"/>
  <c r="E14" i="15" s="1"/>
  <c r="D15" i="19"/>
  <c r="C15" i="19"/>
  <c r="C14" i="15" s="1"/>
  <c r="B15" i="19"/>
  <c r="B14" i="15" s="1"/>
  <c r="P16" i="48"/>
  <c r="O16" i="48"/>
  <c r="K16" i="48"/>
  <c r="B12" i="48"/>
  <c r="Q12" i="48" s="1"/>
  <c r="N11" i="48"/>
  <c r="L11" i="48"/>
  <c r="J11" i="48"/>
  <c r="H11" i="48"/>
  <c r="G11" i="48"/>
  <c r="F11" i="48"/>
  <c r="P9" i="48"/>
  <c r="O9" i="48"/>
  <c r="N9" i="48"/>
  <c r="L9" i="48"/>
  <c r="K9" i="48"/>
  <c r="J9" i="48"/>
  <c r="I9" i="48"/>
  <c r="F9" i="48"/>
  <c r="C9" i="48"/>
  <c r="M8" i="48"/>
  <c r="K8" i="48"/>
  <c r="I8" i="48"/>
  <c r="H8" i="48"/>
  <c r="G8" i="48"/>
  <c r="P7" i="48"/>
  <c r="O7" i="48"/>
  <c r="M7" i="48"/>
  <c r="K7" i="48"/>
  <c r="I7" i="48"/>
  <c r="H7" i="48"/>
  <c r="G7" i="48"/>
  <c r="M4" i="48"/>
  <c r="L4" i="48"/>
  <c r="K4" i="48"/>
  <c r="I4" i="48"/>
  <c r="H4" i="48"/>
  <c r="G4" i="48"/>
  <c r="G80" i="14"/>
  <c r="M79" i="14"/>
  <c r="K79" i="14"/>
  <c r="B79" i="14"/>
  <c r="M78" i="14"/>
  <c r="L78" i="14"/>
  <c r="H78" i="14"/>
  <c r="G78" i="14"/>
  <c r="E78" i="14"/>
  <c r="M67" i="14"/>
  <c r="L67" i="14"/>
  <c r="H67" i="14"/>
  <c r="G67" i="14"/>
  <c r="E67" i="14"/>
  <c r="C56" i="14"/>
  <c r="Q45" i="14"/>
  <c r="P45" i="14"/>
  <c r="O45" i="14"/>
  <c r="M45" i="14"/>
  <c r="L45" i="14"/>
  <c r="K45" i="14"/>
  <c r="J45" i="14"/>
  <c r="G45" i="14"/>
  <c r="D45" i="14"/>
  <c r="Q43" i="14"/>
  <c r="P43" i="14"/>
  <c r="O43" i="14"/>
  <c r="M43" i="14"/>
  <c r="L43" i="14"/>
  <c r="K43" i="14"/>
  <c r="J43" i="14"/>
  <c r="G43" i="14"/>
  <c r="D43" i="14"/>
  <c r="L39" i="14"/>
  <c r="J39" i="14"/>
  <c r="I39" i="14"/>
  <c r="H39" i="14"/>
  <c r="L37" i="14"/>
  <c r="J37" i="14"/>
  <c r="I37" i="14"/>
  <c r="H37" i="14"/>
  <c r="I35" i="14"/>
  <c r="H35" i="14"/>
  <c r="Q19" i="14"/>
  <c r="P19" i="14"/>
  <c r="O19" i="14"/>
  <c r="M19" i="14"/>
  <c r="L19" i="14"/>
  <c r="K19" i="14"/>
  <c r="J19" i="14"/>
  <c r="G19" i="14"/>
  <c r="D19" i="14"/>
  <c r="N13" i="14"/>
  <c r="L13" i="14"/>
  <c r="J13" i="14"/>
  <c r="I13" i="14"/>
  <c r="H13" i="14"/>
  <c r="C12" i="14"/>
  <c r="R12" i="14" s="1"/>
  <c r="N11" i="14"/>
  <c r="L11" i="14"/>
  <c r="J11" i="14"/>
  <c r="I11" i="14"/>
  <c r="H11" i="14"/>
  <c r="O9" i="14"/>
  <c r="M9" i="14"/>
  <c r="L9" i="14"/>
  <c r="K9" i="14"/>
  <c r="I9" i="14"/>
  <c r="H9" i="14"/>
  <c r="G9" i="14"/>
  <c r="A7" i="31"/>
  <c r="A6" i="31"/>
  <c r="K11" i="48" l="1"/>
  <c r="M12" i="13"/>
  <c r="N37" i="14" s="1"/>
  <c r="C18" i="16"/>
  <c r="C8" i="48" s="1"/>
  <c r="J8" i="18"/>
  <c r="J19" i="19"/>
  <c r="K35" i="14" s="1"/>
  <c r="N19" i="19"/>
  <c r="O35" i="14" s="1"/>
  <c r="J15" i="16"/>
  <c r="N16" i="16"/>
  <c r="C6" i="17"/>
  <c r="H68" i="14"/>
  <c r="H69" i="14" s="1"/>
  <c r="D8" i="17"/>
  <c r="D7" i="48" s="1"/>
  <c r="D24" i="48" s="1"/>
  <c r="C97" i="18"/>
  <c r="I100" i="18" s="1"/>
  <c r="H7" i="18" s="1"/>
  <c r="I67" i="14" s="1"/>
  <c r="F16" i="16"/>
  <c r="D13" i="15"/>
  <c r="O80" i="14"/>
  <c r="L68" i="14"/>
  <c r="B16" i="18"/>
  <c r="B78" i="14" s="1"/>
  <c r="B81" i="14" s="1"/>
  <c r="C13" i="15"/>
  <c r="C16" i="15" s="1"/>
  <c r="D10" i="14" s="1"/>
  <c r="D12" i="22"/>
  <c r="E17" i="14"/>
  <c r="D13" i="48"/>
  <c r="D30" i="48" s="1"/>
  <c r="D31" i="20"/>
  <c r="E43" i="14" s="1"/>
  <c r="I101" i="18"/>
  <c r="H16" i="18" s="1"/>
  <c r="I78" i="14" s="1"/>
  <c r="E101" i="18"/>
  <c r="E16" i="18" s="1"/>
  <c r="F78" i="14" s="1"/>
  <c r="F101" i="18"/>
  <c r="H101" i="18"/>
  <c r="D101" i="18"/>
  <c r="G101" i="18"/>
  <c r="C101" i="18"/>
  <c r="B101" i="18"/>
  <c r="C16" i="18" s="1"/>
  <c r="D78" i="14" s="1"/>
  <c r="E12" i="22"/>
  <c r="F17" i="14"/>
  <c r="E13" i="48"/>
  <c r="B12" i="22"/>
  <c r="C17" i="14"/>
  <c r="B13" i="48"/>
  <c r="B13" i="16"/>
  <c r="C35" i="16"/>
  <c r="C64" i="14"/>
  <c r="D11" i="48"/>
  <c r="D14" i="15"/>
  <c r="K19" i="19"/>
  <c r="L35" i="14" s="1"/>
  <c r="I19" i="19"/>
  <c r="J35" i="14" s="1"/>
  <c r="B6" i="48"/>
  <c r="Q6" i="48" s="1"/>
  <c r="P18" i="16"/>
  <c r="P22" i="16" s="1"/>
  <c r="Q39" i="14" s="1"/>
  <c r="J8" i="17"/>
  <c r="J7" i="48" s="1"/>
  <c r="J24" i="48" s="1"/>
  <c r="G19" i="18"/>
  <c r="K19" i="18"/>
  <c r="L16" i="16"/>
  <c r="L18" i="16" s="1"/>
  <c r="N6" i="17"/>
  <c r="C100" i="18"/>
  <c r="G100" i="18"/>
  <c r="E31" i="20"/>
  <c r="F43" i="14" s="1"/>
  <c r="H14" i="22"/>
  <c r="F8" i="17"/>
  <c r="G22" i="14" s="1"/>
  <c r="D100" i="18"/>
  <c r="H100" i="18"/>
  <c r="B100" i="18"/>
  <c r="C7" i="18" s="1"/>
  <c r="D67" i="14" s="1"/>
  <c r="E9" i="14"/>
  <c r="J9" i="14"/>
  <c r="N9" i="14"/>
  <c r="I11" i="48"/>
  <c r="M11" i="48"/>
  <c r="M19" i="19"/>
  <c r="N35" i="14" s="1"/>
  <c r="J7" i="15"/>
  <c r="O5" i="16"/>
  <c r="B7" i="18"/>
  <c r="B67" i="14" s="1"/>
  <c r="E19" i="18"/>
  <c r="C80" i="14"/>
  <c r="L6" i="17"/>
  <c r="E100" i="18"/>
  <c r="E7" i="18" s="1"/>
  <c r="F67" i="14" s="1"/>
  <c r="N13" i="15"/>
  <c r="L13" i="15"/>
  <c r="L16" i="15" s="1"/>
  <c r="K5" i="48"/>
  <c r="K22" i="48" s="1"/>
  <c r="K20" i="15"/>
  <c r="L36" i="14" s="1"/>
  <c r="G27" i="20"/>
  <c r="G12" i="22" s="1"/>
  <c r="G7" i="22"/>
  <c r="G10" i="22"/>
  <c r="G6" i="22"/>
  <c r="G9" i="22"/>
  <c r="G11" i="22"/>
  <c r="G8" i="22"/>
  <c r="M7" i="22"/>
  <c r="M10" i="22"/>
  <c r="M8" i="22"/>
  <c r="M11" i="22"/>
  <c r="M9" i="22"/>
  <c r="M6" i="22"/>
  <c r="L18" i="14"/>
  <c r="P10" i="48"/>
  <c r="P27" i="48" s="1"/>
  <c r="Q18" i="14"/>
  <c r="Q20" i="14" s="1"/>
  <c r="G18" i="14"/>
  <c r="G20" i="14" s="1"/>
  <c r="M27" i="20"/>
  <c r="J11" i="15"/>
  <c r="N7" i="15"/>
  <c r="B11" i="15"/>
  <c r="N11" i="15"/>
  <c r="F11" i="15"/>
  <c r="B38" i="13"/>
  <c r="B50" i="13" s="1"/>
  <c r="B7" i="15"/>
  <c r="I10" i="48"/>
  <c r="J18" i="14"/>
  <c r="J20" i="14" s="1"/>
  <c r="F18" i="14"/>
  <c r="E58" i="22"/>
  <c r="F44" i="14" s="1"/>
  <c r="E10" i="48"/>
  <c r="K18" i="14"/>
  <c r="J10" i="48"/>
  <c r="J27" i="48" s="1"/>
  <c r="J58" i="22"/>
  <c r="K44" i="14" s="1"/>
  <c r="K46" i="14" s="1"/>
  <c r="D18" i="14"/>
  <c r="D20" i="14" s="1"/>
  <c r="C10" i="48"/>
  <c r="I18" i="14"/>
  <c r="H10" i="48"/>
  <c r="H27" i="48" s="1"/>
  <c r="L58" i="22"/>
  <c r="M44" i="14" s="1"/>
  <c r="L10" i="48"/>
  <c r="M18" i="14"/>
  <c r="M20" i="14" s="1"/>
  <c r="E18" i="14"/>
  <c r="D10" i="48"/>
  <c r="D27" i="48" s="1"/>
  <c r="N58" i="22"/>
  <c r="O44" i="14" s="1"/>
  <c r="O46" i="14" s="1"/>
  <c r="O18" i="14"/>
  <c r="O20" i="14" s="1"/>
  <c r="N10" i="48"/>
  <c r="N27" i="48" s="1"/>
  <c r="P18" i="14"/>
  <c r="O10" i="48"/>
  <c r="O27" i="48" s="1"/>
  <c r="O58" i="22"/>
  <c r="P44" i="14" s="1"/>
  <c r="P46" i="14" s="1"/>
  <c r="H58" i="22"/>
  <c r="I44" i="14" s="1"/>
  <c r="I58" i="22"/>
  <c r="J44" i="14" s="1"/>
  <c r="J46" i="14" s="1"/>
  <c r="K58" i="22"/>
  <c r="L44" i="14" s="1"/>
  <c r="L46" i="14" s="1"/>
  <c r="P58" i="22"/>
  <c r="Q44" i="14" s="1"/>
  <c r="Q46" i="14" s="1"/>
  <c r="D58" i="22"/>
  <c r="E44" i="14" s="1"/>
  <c r="F58" i="22"/>
  <c r="G44" i="14" s="1"/>
  <c r="G46" i="14" s="1"/>
  <c r="G13" i="48"/>
  <c r="G30" i="48" s="1"/>
  <c r="H17" i="14"/>
  <c r="I17" i="14"/>
  <c r="H13" i="48"/>
  <c r="H30" i="48" s="1"/>
  <c r="H31" i="20"/>
  <c r="I43" i="14" s="1"/>
  <c r="G31" i="20"/>
  <c r="H43" i="14" s="1"/>
  <c r="C78" i="22"/>
  <c r="E7" i="15"/>
  <c r="Q9" i="14"/>
  <c r="G5" i="48"/>
  <c r="E12" i="15"/>
  <c r="O5" i="15"/>
  <c r="O16" i="15" s="1"/>
  <c r="M20" i="15"/>
  <c r="N36" i="14" s="1"/>
  <c r="N41" i="14" s="1"/>
  <c r="N10" i="14"/>
  <c r="G20" i="15"/>
  <c r="H36" i="14" s="1"/>
  <c r="H41" i="14" s="1"/>
  <c r="H20" i="15"/>
  <c r="I36" i="14" s="1"/>
  <c r="I10" i="14"/>
  <c r="I15" i="14" s="1"/>
  <c r="C66" i="14"/>
  <c r="B66" i="14"/>
  <c r="F8" i="16"/>
  <c r="D12" i="17"/>
  <c r="E48" i="14" s="1"/>
  <c r="E22" i="14"/>
  <c r="J9" i="16"/>
  <c r="B7" i="48"/>
  <c r="C22" i="14"/>
  <c r="C65" i="14"/>
  <c r="B65" i="14"/>
  <c r="F6" i="15"/>
  <c r="F8" i="15"/>
  <c r="N10" i="16"/>
  <c r="E14" i="16"/>
  <c r="I41" i="14"/>
  <c r="J15" i="14"/>
  <c r="H15" i="14"/>
  <c r="L15" i="14"/>
  <c r="M46" i="14"/>
  <c r="P20" i="14"/>
  <c r="K20" i="14"/>
  <c r="L20" i="14"/>
  <c r="L69" i="14"/>
  <c r="D5" i="15"/>
  <c r="D16" i="15" s="1"/>
  <c r="B8" i="15"/>
  <c r="J8" i="15"/>
  <c r="F12" i="15"/>
  <c r="I20" i="15"/>
  <c r="J36" i="14" s="1"/>
  <c r="J41" i="14" s="1"/>
  <c r="B9" i="16"/>
  <c r="N9" i="16"/>
  <c r="E8" i="15"/>
  <c r="B10" i="15"/>
  <c r="E9" i="16"/>
  <c r="F12" i="17"/>
  <c r="G48" i="14" s="1"/>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P8" i="48"/>
  <c r="P25" i="48" s="1"/>
  <c r="B9" i="15"/>
  <c r="E11" i="48"/>
  <c r="F9" i="14"/>
  <c r="D9" i="14"/>
  <c r="E19" i="19"/>
  <c r="F35" i="14" s="1"/>
  <c r="C11" i="48"/>
  <c r="D19" i="19"/>
  <c r="E35" i="14" s="1"/>
  <c r="C9" i="14"/>
  <c r="B11" i="48"/>
  <c r="E5" i="22"/>
  <c r="D5" i="22"/>
  <c r="B5" i="22"/>
  <c r="P11" i="48"/>
  <c r="P28" i="48" s="1"/>
  <c r="I5" i="48"/>
  <c r="I22" i="48" s="1"/>
  <c r="K28" i="48"/>
  <c r="H5" i="48"/>
  <c r="O11" i="48"/>
  <c r="P9" i="14"/>
  <c r="M5" i="48"/>
  <c r="G28" i="48"/>
  <c r="C11" i="14"/>
  <c r="B4" i="48"/>
  <c r="E30" i="48"/>
  <c r="E29" i="48"/>
  <c r="E27" i="48"/>
  <c r="I30" i="48"/>
  <c r="I27" i="48"/>
  <c r="I26" i="48"/>
  <c r="I29" i="48"/>
  <c r="K26" i="48"/>
  <c r="O29" i="48"/>
  <c r="K21" i="48"/>
  <c r="G21" i="48"/>
  <c r="M16" i="48"/>
  <c r="M21" i="48" s="1"/>
  <c r="K29" i="48"/>
  <c r="B39" i="13"/>
  <c r="B51" i="13" s="1"/>
  <c r="F5" i="13" s="1"/>
  <c r="F8" i="13" s="1"/>
  <c r="G11" i="14" s="1"/>
  <c r="I21" i="48"/>
  <c r="K27" i="48"/>
  <c r="G29" i="48"/>
  <c r="O21" i="48"/>
  <c r="H24" i="48"/>
  <c r="L16" i="48"/>
  <c r="L23" i="48" s="1"/>
  <c r="H21" i="48"/>
  <c r="K24" i="48"/>
  <c r="K25" i="48"/>
  <c r="Q11" i="14"/>
  <c r="P12" i="13"/>
  <c r="Q37" i="14" s="1"/>
  <c r="P4" i="48"/>
  <c r="P21" i="48" s="1"/>
  <c r="D12" i="13"/>
  <c r="E37" i="14" s="1"/>
  <c r="D4" i="48"/>
  <c r="D21" i="48" s="1"/>
  <c r="E11" i="14"/>
  <c r="F23" i="48"/>
  <c r="J23" i="48"/>
  <c r="N23" i="48"/>
  <c r="N26" i="48"/>
  <c r="D28" i="48"/>
  <c r="H28" i="48"/>
  <c r="L28" i="48"/>
  <c r="F30" i="48"/>
  <c r="J30" i="48"/>
  <c r="N30" i="48"/>
  <c r="G23" i="48"/>
  <c r="K23" i="48"/>
  <c r="O23" i="48"/>
  <c r="G25" i="48"/>
  <c r="F26" i="48"/>
  <c r="J26" i="48"/>
  <c r="O26" i="48"/>
  <c r="F27" i="48"/>
  <c r="E28" i="48"/>
  <c r="I28" i="48"/>
  <c r="D29" i="48"/>
  <c r="H29" i="48"/>
  <c r="P29" i="48"/>
  <c r="K30" i="48"/>
  <c r="O30" i="48"/>
  <c r="C22" i="13"/>
  <c r="C21" i="13"/>
  <c r="C20" i="13"/>
  <c r="D23" i="48"/>
  <c r="H23" i="48"/>
  <c r="P23" i="48"/>
  <c r="H25" i="48"/>
  <c r="P26" i="48"/>
  <c r="F28" i="48"/>
  <c r="J28" i="48"/>
  <c r="N28" i="48"/>
  <c r="P30" i="48"/>
  <c r="G22" i="48"/>
  <c r="E23" i="48"/>
  <c r="I23" i="48"/>
  <c r="O24" i="48"/>
  <c r="I25" i="48"/>
  <c r="P11" i="14"/>
  <c r="O12" i="13"/>
  <c r="P37" i="14" s="1"/>
  <c r="E9" i="18"/>
  <c r="F69" i="14"/>
  <c r="C9" i="18"/>
  <c r="H9" i="18"/>
  <c r="B10" i="48"/>
  <c r="C18" i="14"/>
  <c r="F7" i="48"/>
  <c r="F24" i="48" s="1"/>
  <c r="P24" i="48"/>
  <c r="E5" i="17"/>
  <c r="C8" i="17"/>
  <c r="G24" i="48"/>
  <c r="I24" i="48"/>
  <c r="G81" i="14"/>
  <c r="D79" i="14"/>
  <c r="H79" i="14"/>
  <c r="H81" i="14" s="1"/>
  <c r="L79" i="14"/>
  <c r="L81" i="14" s="1"/>
  <c r="F79" i="14"/>
  <c r="F81" i="14" s="1"/>
  <c r="J79" i="14"/>
  <c r="E68" i="14"/>
  <c r="E69" i="14" s="1"/>
  <c r="I68" i="14"/>
  <c r="I69" i="14" s="1"/>
  <c r="M68" i="14"/>
  <c r="M69" i="14" s="1"/>
  <c r="D19" i="18"/>
  <c r="H19" i="18"/>
  <c r="L19" i="18"/>
  <c r="B68" i="14"/>
  <c r="G68" i="14"/>
  <c r="G69" i="14" s="1"/>
  <c r="K68" i="14"/>
  <c r="E81" i="14"/>
  <c r="I81" i="14"/>
  <c r="M81" i="14"/>
  <c r="F19" i="18"/>
  <c r="D11" i="14"/>
  <c r="C4" i="48"/>
  <c r="M8" i="18"/>
  <c r="M17" i="18"/>
  <c r="M18" i="18"/>
  <c r="D13" i="14"/>
  <c r="N15" i="14" l="1"/>
  <c r="L41" i="14"/>
  <c r="O78" i="14"/>
  <c r="N5" i="17"/>
  <c r="N8" i="17" s="1"/>
  <c r="J16" i="18"/>
  <c r="K78" i="14" s="1"/>
  <c r="K81" i="14" s="1"/>
  <c r="B19" i="18"/>
  <c r="L21" i="48"/>
  <c r="M28" i="48"/>
  <c r="I16" i="18"/>
  <c r="L5" i="17"/>
  <c r="L8" i="17" s="1"/>
  <c r="L29" i="48"/>
  <c r="K14" i="48"/>
  <c r="L30" i="48"/>
  <c r="B35" i="13"/>
  <c r="J12" i="17"/>
  <c r="K48" i="14" s="1"/>
  <c r="F100" i="18"/>
  <c r="I7" i="18" s="1"/>
  <c r="D81" i="14"/>
  <c r="O79" i="14"/>
  <c r="O81" i="14" s="1"/>
  <c r="B17" i="6" s="1"/>
  <c r="M23" i="48"/>
  <c r="L27" i="48"/>
  <c r="B9" i="18"/>
  <c r="M31" i="20"/>
  <c r="N43" i="14" s="1"/>
  <c r="M12" i="22"/>
  <c r="O18" i="16"/>
  <c r="B34" i="13"/>
  <c r="B46" i="13" s="1"/>
  <c r="E5" i="13" s="1"/>
  <c r="E8" i="13" s="1"/>
  <c r="E12" i="13" s="1"/>
  <c r="F37" i="14" s="1"/>
  <c r="K22" i="14"/>
  <c r="M13" i="14"/>
  <c r="L8" i="48"/>
  <c r="L25" i="48" s="1"/>
  <c r="L22" i="16"/>
  <c r="M39" i="14" s="1"/>
  <c r="C7" i="48"/>
  <c r="D22" i="14"/>
  <c r="M22" i="48"/>
  <c r="B36" i="13"/>
  <c r="J7" i="18"/>
  <c r="O68" i="14"/>
  <c r="C68" i="14"/>
  <c r="E8" i="17"/>
  <c r="F22" i="14" s="1"/>
  <c r="D69" i="14"/>
  <c r="O67" i="14"/>
  <c r="D18" i="16"/>
  <c r="D22" i="16" s="1"/>
  <c r="E39" i="14" s="1"/>
  <c r="C79" i="14"/>
  <c r="C19" i="18"/>
  <c r="B14" i="22"/>
  <c r="B9" i="48" s="1"/>
  <c r="E14" i="22"/>
  <c r="F19" i="14" s="1"/>
  <c r="F20" i="14" s="1"/>
  <c r="D14" i="22"/>
  <c r="D9" i="48" s="1"/>
  <c r="D26" i="48" s="1"/>
  <c r="M51" i="22"/>
  <c r="M50" i="22" s="1"/>
  <c r="M54" i="22" s="1"/>
  <c r="G51" i="22"/>
  <c r="G50" i="22" s="1"/>
  <c r="G54" i="22" s="1"/>
  <c r="N17" i="14"/>
  <c r="R17" i="14" s="1"/>
  <c r="M13" i="48"/>
  <c r="M30" i="48" s="1"/>
  <c r="H18" i="22"/>
  <c r="I45" i="14" s="1"/>
  <c r="I46" i="14" s="1"/>
  <c r="I53" i="14" s="1"/>
  <c r="I19" i="14"/>
  <c r="I20" i="14" s="1"/>
  <c r="I23" i="14" s="1"/>
  <c r="H9" i="48"/>
  <c r="H26" i="48" s="1"/>
  <c r="Q13" i="48"/>
  <c r="M5" i="22"/>
  <c r="G5" i="22"/>
  <c r="G14" i="22" s="1"/>
  <c r="I14" i="48"/>
  <c r="E5" i="15"/>
  <c r="O20" i="15"/>
  <c r="P36" i="14" s="1"/>
  <c r="P10" i="14"/>
  <c r="P20" i="15"/>
  <c r="Q36" i="14" s="1"/>
  <c r="Q41" i="14" s="1"/>
  <c r="Q53" i="14" s="1"/>
  <c r="Q10" i="14"/>
  <c r="Q15" i="14" s="1"/>
  <c r="Q23" i="14" s="1"/>
  <c r="J5" i="15"/>
  <c r="F4" i="48"/>
  <c r="F21" i="48" s="1"/>
  <c r="B69" i="14"/>
  <c r="B4" i="6" s="1"/>
  <c r="D15" i="14"/>
  <c r="J23" i="14"/>
  <c r="L53" i="14"/>
  <c r="L23" i="14"/>
  <c r="J53" i="14"/>
  <c r="D20" i="15"/>
  <c r="E10" i="14"/>
  <c r="F5" i="15"/>
  <c r="F16" i="15" s="1"/>
  <c r="B5" i="15"/>
  <c r="B16" i="15" s="1"/>
  <c r="E13" i="14"/>
  <c r="B5" i="16"/>
  <c r="B18" i="16" s="1"/>
  <c r="C13" i="14" s="1"/>
  <c r="N5" i="15"/>
  <c r="N16" i="15" s="1"/>
  <c r="F12" i="13"/>
  <c r="G37" i="14" s="1"/>
  <c r="P5" i="48"/>
  <c r="P22" i="48" s="1"/>
  <c r="P31" i="48" s="1"/>
  <c r="F13" i="16"/>
  <c r="E13" i="16"/>
  <c r="N13" i="16"/>
  <c r="J13" i="16"/>
  <c r="B47" i="13"/>
  <c r="N12" i="16"/>
  <c r="J12" i="16"/>
  <c r="F12" i="16"/>
  <c r="E12" i="16"/>
  <c r="Q11" i="48"/>
  <c r="O5" i="48"/>
  <c r="R9" i="14"/>
  <c r="C19" i="14"/>
  <c r="C20" i="14" s="1"/>
  <c r="E19" i="14"/>
  <c r="E20" i="14" s="1"/>
  <c r="O28" i="48"/>
  <c r="H22" i="48"/>
  <c r="D5" i="48"/>
  <c r="D22" i="48" s="1"/>
  <c r="K31" i="48"/>
  <c r="L26" i="48"/>
  <c r="B48" i="13"/>
  <c r="C48" i="13" s="1"/>
  <c r="N5" i="13" s="1"/>
  <c r="N8" i="13" s="1"/>
  <c r="N4" i="48" s="1"/>
  <c r="N21" i="48" s="1"/>
  <c r="M29" i="48"/>
  <c r="M25" i="48"/>
  <c r="M24" i="48"/>
  <c r="I31" i="48"/>
  <c r="C50" i="13"/>
  <c r="J5" i="13" s="1"/>
  <c r="J8" i="13" s="1"/>
  <c r="E12" i="17"/>
  <c r="F48" i="14" s="1"/>
  <c r="C5" i="48"/>
  <c r="D8" i="48" l="1"/>
  <c r="D25" i="48" s="1"/>
  <c r="O22" i="14"/>
  <c r="R22" i="14" s="1"/>
  <c r="N7" i="48"/>
  <c r="N24" i="48" s="1"/>
  <c r="N12" i="17"/>
  <c r="O48" i="14" s="1"/>
  <c r="L7" i="48"/>
  <c r="L24" i="48" s="1"/>
  <c r="L12" i="17"/>
  <c r="M48" i="14" s="1"/>
  <c r="M22" i="14"/>
  <c r="J78" i="14"/>
  <c r="I19" i="18"/>
  <c r="M16" i="18"/>
  <c r="M19" i="18" s="1"/>
  <c r="E7" i="48"/>
  <c r="E24" i="48" s="1"/>
  <c r="J19" i="18"/>
  <c r="C14" i="48"/>
  <c r="E16" i="15"/>
  <c r="E20" i="15" s="1"/>
  <c r="F36" i="14" s="1"/>
  <c r="K67" i="14"/>
  <c r="K69" i="14" s="1"/>
  <c r="J9" i="18"/>
  <c r="J67" i="14"/>
  <c r="I9" i="18"/>
  <c r="M7" i="18"/>
  <c r="M9" i="18" s="1"/>
  <c r="K10" i="14"/>
  <c r="J16" i="15"/>
  <c r="O8" i="48"/>
  <c r="O25" i="48" s="1"/>
  <c r="P13" i="14"/>
  <c r="P15" i="14" s="1"/>
  <c r="P23" i="14" s="1"/>
  <c r="M14" i="22"/>
  <c r="M18" i="22" s="1"/>
  <c r="N45" i="14" s="1"/>
  <c r="O22" i="16"/>
  <c r="P39" i="14" s="1"/>
  <c r="P41" i="14" s="1"/>
  <c r="P53" i="14" s="1"/>
  <c r="D18" i="22"/>
  <c r="E45" i="14" s="1"/>
  <c r="E46" i="14" s="1"/>
  <c r="E18" i="22"/>
  <c r="F45" i="14" s="1"/>
  <c r="F46" i="14" s="1"/>
  <c r="E9" i="48"/>
  <c r="E26" i="48" s="1"/>
  <c r="D31" i="48"/>
  <c r="M58" i="22"/>
  <c r="N44" i="14" s="1"/>
  <c r="M10" i="48"/>
  <c r="M27" i="48" s="1"/>
  <c r="N18" i="14"/>
  <c r="H31" i="48"/>
  <c r="H14" i="48"/>
  <c r="G18" i="22"/>
  <c r="H45" i="14" s="1"/>
  <c r="H19" i="14"/>
  <c r="G9" i="48"/>
  <c r="G58" i="22"/>
  <c r="H44" i="14" s="1"/>
  <c r="H18" i="14"/>
  <c r="G10" i="48"/>
  <c r="P14" i="48"/>
  <c r="F10" i="14"/>
  <c r="B8" i="48"/>
  <c r="J5" i="48"/>
  <c r="J22" i="48" s="1"/>
  <c r="J20" i="15"/>
  <c r="K36" i="14" s="1"/>
  <c r="E15" i="14"/>
  <c r="E23" i="14" s="1"/>
  <c r="J55" i="14"/>
  <c r="L55" i="14"/>
  <c r="E36" i="14"/>
  <c r="E41" i="14" s="1"/>
  <c r="N20" i="15"/>
  <c r="O36" i="14" s="1"/>
  <c r="O10" i="14"/>
  <c r="L5" i="48"/>
  <c r="L22" i="48" s="1"/>
  <c r="M10" i="14"/>
  <c r="M15" i="14" s="1"/>
  <c r="F20" i="15"/>
  <c r="G36" i="14" s="1"/>
  <c r="G10" i="14"/>
  <c r="C10" i="14"/>
  <c r="B5" i="48"/>
  <c r="D23" i="14"/>
  <c r="B20" i="6" s="1"/>
  <c r="B22" i="6" s="1"/>
  <c r="Q55" i="14"/>
  <c r="N5" i="16"/>
  <c r="F5" i="48"/>
  <c r="F22" i="48" s="1"/>
  <c r="E5" i="16"/>
  <c r="J5" i="16"/>
  <c r="C35" i="13"/>
  <c r="F5" i="16"/>
  <c r="C36" i="13"/>
  <c r="O22" i="48"/>
  <c r="I55" i="14"/>
  <c r="D14" i="48"/>
  <c r="N12" i="13"/>
  <c r="O37" i="14" s="1"/>
  <c r="O11" i="14"/>
  <c r="C38" i="13"/>
  <c r="C39" i="13"/>
  <c r="C32" i="13"/>
  <c r="C34" i="13"/>
  <c r="E4" i="48"/>
  <c r="E21" i="48" s="1"/>
  <c r="F11" i="14"/>
  <c r="J4" i="48"/>
  <c r="J12" i="13"/>
  <c r="K37" i="14" s="1"/>
  <c r="K11" i="14"/>
  <c r="N5" i="48"/>
  <c r="L20" i="15"/>
  <c r="N19" i="14" l="1"/>
  <c r="M9" i="48"/>
  <c r="Q7" i="48"/>
  <c r="L31" i="48"/>
  <c r="C78" i="14"/>
  <c r="C81" i="14" s="1"/>
  <c r="J81" i="14"/>
  <c r="E5" i="48"/>
  <c r="E22" i="48" s="1"/>
  <c r="P55" i="14"/>
  <c r="O31" i="48"/>
  <c r="J18" i="16"/>
  <c r="J8" i="48" s="1"/>
  <c r="J25" i="48" s="1"/>
  <c r="N18" i="16"/>
  <c r="N8" i="48" s="1"/>
  <c r="E18" i="16"/>
  <c r="E22" i="16" s="1"/>
  <c r="F39" i="14" s="1"/>
  <c r="F41" i="14" s="1"/>
  <c r="F53" i="14" s="1"/>
  <c r="O14" i="48"/>
  <c r="F18" i="16"/>
  <c r="G13" i="14" s="1"/>
  <c r="G15" i="14" s="1"/>
  <c r="G23" i="14" s="1"/>
  <c r="J69" i="14"/>
  <c r="C67" i="14"/>
  <c r="C69" i="14" s="1"/>
  <c r="B14" i="48"/>
  <c r="K13" i="14"/>
  <c r="K15" i="14" s="1"/>
  <c r="K23" i="14" s="1"/>
  <c r="R19" i="14"/>
  <c r="N20" i="14"/>
  <c r="N23" i="14" s="1"/>
  <c r="H46" i="14"/>
  <c r="H53" i="14" s="1"/>
  <c r="G26" i="48"/>
  <c r="G14" i="48"/>
  <c r="G27" i="48"/>
  <c r="Q10" i="48"/>
  <c r="R18" i="14"/>
  <c r="H20" i="14"/>
  <c r="H23" i="14" s="1"/>
  <c r="Q9" i="48"/>
  <c r="M26" i="48"/>
  <c r="M31" i="48" s="1"/>
  <c r="M14" i="48"/>
  <c r="N46" i="14"/>
  <c r="N53" i="14" s="1"/>
  <c r="C15" i="14"/>
  <c r="C23" i="14" s="1"/>
  <c r="B3" i="6" s="1"/>
  <c r="E53" i="14"/>
  <c r="E55" i="14" s="1"/>
  <c r="M36" i="14"/>
  <c r="M41" i="14" s="1"/>
  <c r="L14" i="48"/>
  <c r="M23" i="14"/>
  <c r="C10" i="17"/>
  <c r="C12" i="17" s="1"/>
  <c r="D48" i="14" s="1"/>
  <c r="C16" i="22"/>
  <c r="C10" i="13"/>
  <c r="C16" i="48" s="1"/>
  <c r="C30" i="48" s="1"/>
  <c r="C18" i="15"/>
  <c r="C20" i="15" s="1"/>
  <c r="D36" i="14" s="1"/>
  <c r="C20" i="16"/>
  <c r="C22" i="16" s="1"/>
  <c r="D39" i="14" s="1"/>
  <c r="C17" i="19"/>
  <c r="C19" i="19" s="1"/>
  <c r="D35" i="14" s="1"/>
  <c r="C29" i="20"/>
  <c r="C17" i="49"/>
  <c r="C56" i="22"/>
  <c r="C58" i="22" s="1"/>
  <c r="D44" i="14" s="1"/>
  <c r="D46" i="14" s="1"/>
  <c r="Q5" i="48"/>
  <c r="F8" i="48"/>
  <c r="Q4" i="48"/>
  <c r="N22" i="48"/>
  <c r="R11" i="14"/>
  <c r="J21" i="48"/>
  <c r="R10" i="14"/>
  <c r="F13" i="14" l="1"/>
  <c r="F15" i="14" s="1"/>
  <c r="F23" i="14" s="1"/>
  <c r="F55" i="14" s="1"/>
  <c r="F22" i="16"/>
  <c r="G39" i="14" s="1"/>
  <c r="G41" i="14" s="1"/>
  <c r="G53" i="14" s="1"/>
  <c r="G55" i="14" s="1"/>
  <c r="O69" i="14" s="1"/>
  <c r="B9" i="6" s="1"/>
  <c r="B12" i="6" s="1"/>
  <c r="O13" i="14"/>
  <c r="O15" i="14" s="1"/>
  <c r="N22" i="16"/>
  <c r="O39" i="14" s="1"/>
  <c r="O41" i="14" s="1"/>
  <c r="O53" i="14" s="1"/>
  <c r="N25" i="48"/>
  <c r="N31" i="48" s="1"/>
  <c r="N14" i="48"/>
  <c r="E8" i="48"/>
  <c r="Q8" i="48" s="1"/>
  <c r="Q14" i="48" s="1"/>
  <c r="J22" i="16"/>
  <c r="K39" i="14" s="1"/>
  <c r="K41" i="14" s="1"/>
  <c r="K53" i="14" s="1"/>
  <c r="K55" i="14" s="1"/>
  <c r="J31" i="48"/>
  <c r="J14" i="48"/>
  <c r="R20" i="14"/>
  <c r="N55" i="14"/>
  <c r="H55" i="14"/>
  <c r="G31" i="48"/>
  <c r="M53" i="14"/>
  <c r="M55" i="14" s="1"/>
  <c r="C12" i="13"/>
  <c r="D37" i="14" s="1"/>
  <c r="D41" i="14" s="1"/>
  <c r="C23" i="48"/>
  <c r="C24" i="48"/>
  <c r="C27" i="48"/>
  <c r="C28" i="48"/>
  <c r="C22" i="48"/>
  <c r="C25" i="48"/>
  <c r="C29" i="48"/>
  <c r="C21" i="48"/>
  <c r="C26" i="48"/>
  <c r="F25" i="48"/>
  <c r="F31" i="48" s="1"/>
  <c r="F14" i="48"/>
  <c r="R13" i="14" l="1"/>
  <c r="R15" i="14" s="1"/>
  <c r="R23" i="14" s="1"/>
  <c r="B20" i="16"/>
  <c r="B22" i="16" s="1"/>
  <c r="C39" i="14" s="1"/>
  <c r="R39" i="14" s="1"/>
  <c r="B56" i="22"/>
  <c r="B58" i="22" s="1"/>
  <c r="C44" i="14" s="1"/>
  <c r="R44" i="14" s="1"/>
  <c r="B16" i="22"/>
  <c r="B18" i="22" s="1"/>
  <c r="C45" i="14" s="1"/>
  <c r="R45" i="14" s="1"/>
  <c r="B17" i="19"/>
  <c r="B19" i="19" s="1"/>
  <c r="C35" i="14" s="1"/>
  <c r="R35" i="14" s="1"/>
  <c r="B17" i="49"/>
  <c r="B19" i="49" s="1"/>
  <c r="C38" i="14" s="1"/>
  <c r="R38" i="14" s="1"/>
  <c r="B10" i="9"/>
  <c r="B12" i="9" s="1"/>
  <c r="B18" i="15"/>
  <c r="B20" i="15" s="1"/>
  <c r="B10" i="17"/>
  <c r="B12" i="17" s="1"/>
  <c r="C48" i="14" s="1"/>
  <c r="R48" i="14" s="1"/>
  <c r="B10" i="13"/>
  <c r="B12" i="13" s="1"/>
  <c r="C37" i="14" s="1"/>
  <c r="R37" i="14" s="1"/>
  <c r="B29" i="20"/>
  <c r="B31" i="20" s="1"/>
  <c r="C43" i="14" s="1"/>
  <c r="R43" i="14" s="1"/>
  <c r="E25" i="48"/>
  <c r="E31" i="48" s="1"/>
  <c r="E14" i="48"/>
  <c r="D53" i="14"/>
  <c r="D55" i="14" s="1"/>
  <c r="C31" i="48"/>
  <c r="O23" i="14"/>
  <c r="O55" i="14" s="1"/>
  <c r="C46" i="14" l="1"/>
  <c r="C36" i="14"/>
  <c r="R36" i="14" s="1"/>
  <c r="R41" i="14" s="1"/>
  <c r="R46" i="14"/>
  <c r="B16" i="48"/>
  <c r="B28" i="48" s="1"/>
  <c r="Q28" i="48" s="1"/>
  <c r="C41" i="14" l="1"/>
  <c r="C53" i="14" s="1"/>
  <c r="C55" i="14" s="1"/>
  <c r="B22" i="48"/>
  <c r="Q22" i="48" s="1"/>
  <c r="B23" i="48"/>
  <c r="Q23" i="48" s="1"/>
  <c r="B24" i="48"/>
  <c r="Q24" i="48" s="1"/>
  <c r="B26" i="48"/>
  <c r="Q26" i="48" s="1"/>
  <c r="B21" i="48"/>
  <c r="Q21" i="48" s="1"/>
  <c r="B25" i="48"/>
  <c r="Q25" i="48" s="1"/>
  <c r="R53" i="14"/>
  <c r="B30" i="48"/>
  <c r="Q30" i="48" s="1"/>
  <c r="B29" i="48"/>
  <c r="Q29" i="48" s="1"/>
  <c r="B27" i="48"/>
  <c r="Q27" i="48" s="1"/>
  <c r="Q31" i="48" l="1"/>
  <c r="B31"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shapeId="0">
      <text>
        <r>
          <rPr>
            <b/>
            <sz val="9"/>
            <color indexed="81"/>
            <rFont val="Tahoma"/>
            <family val="2"/>
          </rPr>
          <t>meynaere:</t>
        </r>
        <r>
          <rPr>
            <sz val="9"/>
            <color indexed="81"/>
            <rFont val="Tahoma"/>
            <family val="2"/>
          </rPr>
          <t xml:space="preserve">
incl. afvalverbranding met energierecuperatie</t>
        </r>
      </text>
    </comment>
    <comment ref="A18"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<sst xmlns="http://schemas.openxmlformats.org/spreadsheetml/2006/main" count="2038" uniqueCount="901">
  <si>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</si>
  <si>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</si>
  <si>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</si>
  <si>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</si>
  <si>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</si>
  <si>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</si>
  <si>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</si>
  <si>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</si>
  <si>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</si>
  <si>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</si>
  <si>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</si>
  <si>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</si>
  <si>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</si>
  <si>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</si>
  <si>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</si>
  <si>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</si>
  <si>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</si>
  <si>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</si>
  <si>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</si>
  <si>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</si>
  <si>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</si>
  <si>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</si>
  <si>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</si>
  <si>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</si>
  <si>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</si>
  <si>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</si>
  <si>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</si>
  <si>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</si>
  <si>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</si>
  <si>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</si>
  <si>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</si>
  <si>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</si>
  <si>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</si>
  <si>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</si>
  <si>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</si>
  <si>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</si>
  <si>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</si>
  <si>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</si>
  <si>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</si>
  <si>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</si>
  <si>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</si>
  <si>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</si>
  <si>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</si>
  <si>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</si>
  <si>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</si>
  <si>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</si>
  <si>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</si>
  <si>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</si>
  <si>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</si>
  <si>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</si>
  <si>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</si>
  <si>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</si>
  <si>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</si>
  <si>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</si>
  <si>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</si>
  <si>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</si>
  <si>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</si>
  <si>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</si>
  <si>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</si>
  <si>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</si>
  <si>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</si>
  <si>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</si>
  <si>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</si>
  <si>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</si>
  <si>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</si>
  <si>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</si>
  <si>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</si>
  <si>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</si>
  <si>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</si>
  <si>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</si>
  <si>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</si>
  <si>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</si>
  <si>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</si>
  <si>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</si>
  <si>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</si>
  <si>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</si>
  <si>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</si>
  <si>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</si>
  <si>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</si>
  <si>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</si>
  <si>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</si>
  <si>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</si>
  <si>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</si>
  <si>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</si>
  <si>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</si>
  <si>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</si>
  <si>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</si>
  <si>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</si>
  <si>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</si>
  <si>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</si>
  <si>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</si>
  <si>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</si>
  <si>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</si>
  <si>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</si>
  <si>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</si>
  <si>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</si>
  <si>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</si>
  <si>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</si>
  <si>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</si>
  <si>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</si>
  <si>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</si>
  <si>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</si>
  <si>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</si>
  <si>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</si>
  <si>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</si>
  <si>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</si>
  <si>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</si>
  <si>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</si>
  <si>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</si>
  <si>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</si>
  <si>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</si>
  <si>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</si>
  <si>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</si>
  <si>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</si>
  <si>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</si>
  <si>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</si>
  <si>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</si>
  <si>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</si>
  <si>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</si>
  <si>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</si>
  <si>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</si>
  <si>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</si>
  <si>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</si>
  <si>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</si>
  <si>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</si>
  <si>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</si>
  <si>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</si>
  <si>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</si>
  <si>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</si>
  <si>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</si>
  <si>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</si>
  <si>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</si>
  <si>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</si>
  <si>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</si>
  <si>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</si>
  <si>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</si>
  <si>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</si>
  <si>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</si>
  <si>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</si>
  <si>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</si>
  <si>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</si>
  <si>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</si>
  <si>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</si>
  <si>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</si>
  <si>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</si>
  <si>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</si>
  <si>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</si>
  <si>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</si>
  <si>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</si>
  <si>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</si>
  <si>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</si>
  <si>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</si>
  <si>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</si>
  <si>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</si>
  <si>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</si>
  <si>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</si>
  <si>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</si>
  <si>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</si>
  <si>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</si>
  <si>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</si>
  <si>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</si>
  <si>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</si>
  <si>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</si>
  <si>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</si>
  <si>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</si>
  <si>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</si>
  <si>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</si>
  <si>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</si>
  <si>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</si>
  <si>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</si>
  <si>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</si>
  <si>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</si>
  <si>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</si>
  <si>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</si>
  <si>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</si>
  <si>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</si>
  <si>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</si>
  <si>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</si>
  <si>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</si>
  <si>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</si>
  <si>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</si>
  <si>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</si>
  <si>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</si>
  <si>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</si>
  <si>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</si>
  <si>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</si>
  <si>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</si>
  <si>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</si>
  <si>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</si>
  <si>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</si>
  <si>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</si>
  <si>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</si>
  <si>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</si>
  <si>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</si>
  <si>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</si>
  <si>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</si>
  <si>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</si>
  <si>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</si>
  <si>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</si>
  <si>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</si>
  <si>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</si>
  <si>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</si>
  <si>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</si>
  <si>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</si>
  <si>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</si>
  <si>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</si>
  <si>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</si>
  <si>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</si>
  <si>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</si>
  <si>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</si>
  <si>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</si>
  <si>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</si>
  <si>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</si>
  <si>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</si>
  <si>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</si>
  <si>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</si>
  <si>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</si>
  <si>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</si>
  <si>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</si>
  <si>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</si>
  <si>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</si>
  <si>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</si>
  <si>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</si>
  <si>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</si>
  <si>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</si>
  <si>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</si>
  <si>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</si>
  <si>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</si>
  <si>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</si>
  <si>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</si>
  <si>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</si>
  <si>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</si>
  <si>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</si>
  <si>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</si>
  <si>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</si>
  <si>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</si>
  <si>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</si>
  <si>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</si>
  <si>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</si>
  <si>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</si>
  <si>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</si>
  <si>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</si>
  <si>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</si>
  <si>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</si>
  <si>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</si>
  <si>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</si>
  <si>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</si>
  <si>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</si>
  <si>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</si>
  <si>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</si>
  <si>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</si>
  <si>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</si>
  <si>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</si>
  <si>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</si>
  <si>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</si>
  <si>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</si>
  <si>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</si>
  <si>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</si>
  <si>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</si>
  <si>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</si>
  <si>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</si>
  <si>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</si>
  <si>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</si>
  <si>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</si>
  <si>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</si>
  <si>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</si>
  <si>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</si>
  <si>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</si>
  <si>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</si>
  <si>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</si>
  <si>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</si>
  <si>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</si>
  <si>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</si>
  <si>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</si>
  <si>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</si>
  <si>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</si>
  <si>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</si>
  <si>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</si>
  <si>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</si>
  <si>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</si>
  <si>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</si>
  <si>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</si>
  <si>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</si>
  <si>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</si>
  <si>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</si>
  <si>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</si>
  <si>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</si>
  <si>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</si>
  <si>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</si>
  <si>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</si>
  <si>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</si>
  <si>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</si>
  <si>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</si>
  <si>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</si>
  <si>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</si>
  <si>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</si>
  <si>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</si>
  <si>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</si>
  <si>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</si>
  <si>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</si>
  <si>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</si>
  <si>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</si>
  <si>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</si>
  <si>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</si>
  <si>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</si>
  <si>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</si>
  <si>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</si>
  <si>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</si>
  <si>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</si>
  <si>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</si>
  <si>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</si>
  <si>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</si>
  <si>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</si>
  <si>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</si>
  <si>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</si>
  <si>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</si>
  <si>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</si>
  <si>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</si>
  <si>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</si>
  <si>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</si>
  <si>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</si>
  <si>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</si>
  <si>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</si>
  <si>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</si>
  <si>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</si>
  <si>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</si>
  <si>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</si>
  <si>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</si>
  <si>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</si>
  <si>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</si>
  <si>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</si>
  <si>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</si>
  <si>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</si>
  <si>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</si>
  <si>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</si>
  <si>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</si>
  <si>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</si>
  <si>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</si>
  <si>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</si>
  <si>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</si>
  <si>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</si>
  <si>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</si>
  <si>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</si>
  <si>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</si>
  <si>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</si>
  <si>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</si>
  <si>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</si>
  <si>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</si>
  <si>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</si>
  <si>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</si>
  <si>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</si>
  <si>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</si>
  <si>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</si>
  <si>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</si>
  <si>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</si>
  <si>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</si>
  <si>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</si>
  <si>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</si>
  <si>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</si>
  <si>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</si>
  <si>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</si>
  <si>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</si>
  <si>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</si>
  <si>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</si>
  <si>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</si>
  <si>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</si>
  <si>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</si>
  <si>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</si>
  <si>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</si>
  <si>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</si>
  <si>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</si>
  <si>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</si>
  <si>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</si>
  <si>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</si>
  <si>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</si>
  <si>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</si>
  <si>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</si>
  <si>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</si>
  <si>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</si>
  <si>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</si>
  <si>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</si>
  <si>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</si>
  <si>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</si>
  <si>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</si>
  <si>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</si>
  <si>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</si>
  <si>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</si>
  <si>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</si>
  <si>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</si>
  <si>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</si>
  <si>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</si>
  <si>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</si>
  <si>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</si>
  <si>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</si>
  <si>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</si>
  <si>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</si>
  <si>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</si>
  <si>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</si>
  <si>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</si>
  <si>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</si>
  <si>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</si>
  <si>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</si>
  <si>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</si>
  <si>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</si>
  <si>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</si>
  <si>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</si>
  <si>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</si>
  <si>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</si>
  <si>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</si>
  <si>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</si>
  <si>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</si>
  <si>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</si>
  <si>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</si>
  <si>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</si>
  <si>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</si>
  <si>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</si>
  <si>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</si>
  <si>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</si>
  <si>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</si>
  <si>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</si>
  <si>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</si>
  <si>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</si>
  <si>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</si>
  <si>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</si>
  <si>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</si>
  <si>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</si>
  <si>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</si>
  <si>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</si>
  <si>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</si>
  <si>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</si>
  <si>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</si>
  <si>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</si>
  <si>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</si>
  <si>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</si>
  <si>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</si>
  <si>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</si>
  <si>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</si>
  <si>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</si>
  <si>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</si>
  <si>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</si>
  <si>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</si>
  <si>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</si>
  <si>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</si>
  <si>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</si>
  <si>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</si>
  <si>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</si>
  <si>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</si>
  <si>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</si>
  <si>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</si>
  <si>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</si>
  <si>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</si>
  <si>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</si>
  <si>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</si>
  <si>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</si>
  <si>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</si>
  <si>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</si>
  <si>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</si>
  <si>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</si>
  <si>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</si>
  <si>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</si>
  <si>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</si>
  <si>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</si>
  <si>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</si>
  <si>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</si>
  <si>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</si>
  <si>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</si>
  <si>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</si>
  <si>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</si>
  <si>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</si>
  <si>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</si>
  <si>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</si>
  <si>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</si>
  <si>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</si>
  <si>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</si>
  <si>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</si>
  <si>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</si>
  <si>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</si>
  <si>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</si>
  <si>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</si>
  <si>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</si>
  <si>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</si>
  <si>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</si>
  <si>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</si>
  <si>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</si>
  <si>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</si>
  <si>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</si>
  <si>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</si>
  <si>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</si>
  <si>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</si>
  <si>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</si>
  <si>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</si>
  <si>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</si>
  <si>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</si>
  <si>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</si>
  <si>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</si>
  <si>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</si>
  <si>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</si>
  <si>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</si>
  <si>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</si>
  <si>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</si>
  <si>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</si>
  <si>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</si>
  <si>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</si>
  <si>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</si>
  <si>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</si>
  <si>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</si>
  <si>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</si>
  <si>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</si>
  <si>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</si>
  <si>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</si>
  <si>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</si>
  <si>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</si>
  <si>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</si>
  <si>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</si>
  <si>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</si>
  <si>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</si>
  <si>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</si>
  <si>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</si>
  <si>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</si>
  <si>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</si>
  <si>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</si>
  <si>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</si>
  <si>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</si>
  <si>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</si>
  <si>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</si>
  <si>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</si>
  <si>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</si>
  <si>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</si>
  <si>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</si>
  <si>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</si>
  <si>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</si>
  <si>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</si>
  <si>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</si>
  <si>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</si>
  <si>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</si>
  <si>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</si>
  <si>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</si>
  <si>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</si>
  <si>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</si>
  <si>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</si>
  <si>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</si>
  <si>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</si>
  <si>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</si>
  <si>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</si>
  <si>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</si>
  <si>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</si>
  <si>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</si>
  <si>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</si>
  <si>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</si>
  <si>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</si>
  <si>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</si>
  <si>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</si>
  <si>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</si>
  <si>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</si>
  <si>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</si>
  <si>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</si>
  <si>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</si>
  <si>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</si>
  <si>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</si>
  <si>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</si>
  <si>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</si>
  <si>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</si>
  <si>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</si>
  <si>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</si>
  <si>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</si>
  <si>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</si>
  <si>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</si>
  <si>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</si>
  <si>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</si>
  <si>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</si>
  <si>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</si>
  <si>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</si>
  <si>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</si>
  <si>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</si>
  <si>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</si>
  <si>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</si>
  <si>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</si>
  <si>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</si>
  <si>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</si>
  <si>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</si>
  <si>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</si>
  <si>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</si>
  <si>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</si>
  <si>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</si>
  <si>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</si>
  <si>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</si>
  <si>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</si>
  <si>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</si>
  <si>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</si>
  <si>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</si>
  <si>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</si>
  <si>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</si>
  <si>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</si>
  <si>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</si>
  <si>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</si>
  <si>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</si>
  <si>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</si>
  <si>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</si>
  <si>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</si>
  <si>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</si>
  <si>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</si>
  <si>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</si>
  <si>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</si>
  <si>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</si>
  <si>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</si>
  <si>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</si>
  <si>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</si>
  <si>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</si>
  <si>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</si>
  <si>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</si>
  <si>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</si>
  <si>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</si>
  <si>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</si>
  <si>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</si>
  <si>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</si>
  <si>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</si>
  <si>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</si>
  <si>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</si>
  <si>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</si>
  <si>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</si>
  <si>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</si>
  <si>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</si>
  <si>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</si>
  <si>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</si>
  <si>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</si>
  <si>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</si>
  <si>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</si>
  <si>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</si>
  <si>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</si>
  <si>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</si>
  <si>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</si>
  <si>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</si>
  <si>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</si>
  <si>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</si>
  <si>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</si>
  <si>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</si>
  <si>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</si>
  <si>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</si>
  <si>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</si>
  <si>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</si>
  <si>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</si>
  <si>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</si>
  <si>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</si>
  <si>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</si>
  <si>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</si>
  <si>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</si>
  <si>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</si>
  <si>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</si>
  <si>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</si>
  <si>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</si>
  <si>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</si>
  <si>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</si>
  <si>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</si>
  <si>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</si>
  <si>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</si>
  <si>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</si>
  <si>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</si>
  <si>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</si>
  <si>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</si>
  <si>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</si>
  <si>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</si>
  <si>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</si>
  <si>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</si>
  <si>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</si>
  <si>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</si>
  <si>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</si>
  <si>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</si>
  <si>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</si>
  <si>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</si>
  <si>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</si>
  <si>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</si>
  <si>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</si>
  <si>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</si>
  <si>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</si>
  <si>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</si>
  <si>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</si>
  <si>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</si>
  <si>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</si>
  <si>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</si>
  <si>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</si>
  <si>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</si>
  <si>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</si>
  <si>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</si>
  <si>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</si>
  <si>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</si>
  <si>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</si>
  <si>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</si>
  <si>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</si>
  <si>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</si>
  <si>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</si>
  <si>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</si>
  <si>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</si>
  <si>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</si>
  <si>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</si>
  <si>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</si>
  <si>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</si>
  <si>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</si>
  <si>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</si>
  <si>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</si>
  <si>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</si>
  <si>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</si>
  <si>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</si>
  <si>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</si>
  <si>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</si>
  <si>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</si>
  <si>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</si>
  <si>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</si>
  <si>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</si>
  <si>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</si>
  <si>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</si>
  <si>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</si>
  <si>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</si>
  <si>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</si>
  <si>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</si>
  <si>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</si>
  <si>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</si>
  <si>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</si>
  <si>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</si>
  <si>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</si>
  <si>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</si>
  <si>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</si>
  <si>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</si>
  <si>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</si>
  <si>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</si>
  <si>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</si>
  <si>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</si>
  <si>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</si>
  <si>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</si>
  <si>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</si>
  <si>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</si>
  <si>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</si>
  <si>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</si>
  <si>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</si>
  <si>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</si>
  <si>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</si>
  <si>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</si>
  <si>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</si>
  <si>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</si>
  <si>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</si>
  <si>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</si>
  <si>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</si>
  <si>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</si>
  <si>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</si>
  <si>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</si>
  <si>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</si>
  <si>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</si>
  <si>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</si>
  <si>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</si>
  <si>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</si>
  <si>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</si>
  <si>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</si>
  <si>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</si>
  <si>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</si>
  <si>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</si>
  <si>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</si>
  <si>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</si>
  <si>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</si>
  <si>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</si>
  <si>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</si>
  <si>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</si>
  <si>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</si>
  <si>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</si>
  <si>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</si>
  <si>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</si>
  <si>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</si>
  <si>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</si>
  <si>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</si>
  <si>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</si>
  <si>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</si>
  <si>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</si>
  <si>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</si>
  <si>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</si>
  <si>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</si>
  <si>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</si>
  <si>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</si>
  <si>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</si>
  <si>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</si>
  <si>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</si>
  <si>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</si>
  <si>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</si>
  <si>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</si>
  <si>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</si>
  <si>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</si>
  <si>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</si>
  <si>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</si>
  <si>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</si>
  <si>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</si>
  <si>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</si>
  <si>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</si>
  <si>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</si>
  <si>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</si>
  <si>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</si>
  <si>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</si>
  <si>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</si>
  <si>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</si>
  <si>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</si>
  <si>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</si>
  <si>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</si>
  <si>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</si>
  <si>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</si>
  <si>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</si>
  <si>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</si>
  <si>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</si>
  <si>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</si>
  <si>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</si>
  <si>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</si>
  <si>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</si>
  <si>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</si>
  <si>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</si>
  <si>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</si>
  <si>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</si>
  <si>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</si>
  <si>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</si>
  <si>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</si>
  <si>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</si>
  <si>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</si>
  <si>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</si>
  <si>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</si>
  <si>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</si>
  <si>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</si>
  <si>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</si>
  <si>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</si>
  <si>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</si>
  <si>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</si>
  <si>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</si>
  <si>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</si>
  <si>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</si>
  <si>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</si>
  <si>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</si>
  <si>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</si>
  <si>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</si>
  <si>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</si>
  <si>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</si>
  <si>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</si>
  <si>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</si>
  <si>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</si>
  <si>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</si>
  <si>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</si>
  <si>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</si>
  <si>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</si>
  <si>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</si>
  <si>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</si>
  <si>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</si>
  <si>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</si>
  <si>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</si>
  <si>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</si>
  <si>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</si>
  <si>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</si>
  <si>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</si>
  <si>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</si>
  <si>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</si>
  <si>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</si>
  <si>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</si>
  <si>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</si>
  <si>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</si>
  <si>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</si>
  <si>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</si>
  <si>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</si>
  <si>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</si>
  <si>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</si>
  <si>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</si>
  <si>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</si>
  <si>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</si>
  <si>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</si>
  <si>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</si>
  <si>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</si>
  <si>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</si>
  <si>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</si>
  <si>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</si>
  <si>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</si>
  <si>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</si>
  <si>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</si>
  <si>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</si>
  <si>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</si>
  <si>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</si>
  <si>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</si>
  <si>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</si>
  <si>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</si>
  <si>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</si>
  <si>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</si>
  <si>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</si>
  <si>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</si>
  <si>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</si>
  <si>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</si>
  <si>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</si>
  <si>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71034</t>
  </si>
  <si>
    <t>LEOPOLDSBURG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</si>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</sst>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 #,##0.00_ ;_ * \-#,##0.00_ ;_ * &quot;-&quot;??_ ;_ @_ "/>
    <numFmt numFmtId="169" formatCode="#,##0.0"/>
    <numFmt numFmtId="170" formatCode="0.000"/>
    <numFmt numFmtId="171" formatCode="_-* #,##0.00\ [$€]_-;\-* #,##0.00\ [$€]_-;_-* &quot;-&quot;??\ [$€]_-;_-@_-"/>
    <numFmt numFmtId="172" formatCode="0.0"/>
    <numFmt numFmtId="173" formatCode="#,##0.000"/>
    <numFmt numFmtId="174" formatCode="#,##0.000_ ;\-#,##0.000\ "/>
    <numFmt numFmtId="175" formatCode="0.0000"/>
    <numFmt numFmtId="176" formatCode="#,##0.0000"/>
    <numFmt numFmtId="177" formatCode="0.000000"/>
    <numFmt numFmtId="178"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1" fontId="0" fillId="0" borderId="0"/>
    <xf numFmtId="171" fontId="3" fillId="0" borderId="0" applyNumberFormat="0" applyFill="0" applyBorder="0" applyAlignment="0" applyProtection="0"/>
    <xf numFmtId="171" fontId="4" fillId="0" borderId="0"/>
    <xf numFmtId="171" fontId="9" fillId="0" borderId="0"/>
    <xf numFmtId="171" fontId="9" fillId="0" borderId="0"/>
    <xf numFmtId="171" fontId="15" fillId="0" borderId="0"/>
    <xf numFmtId="4" fontId="25" fillId="5" borderId="20">
      <alignment horizontal="right" vertical="center"/>
    </xf>
    <xf numFmtId="171" fontId="16" fillId="6" borderId="21" applyFont="0" applyBorder="0">
      <alignment vertical="center"/>
    </xf>
    <xf numFmtId="171" fontId="26" fillId="7" borderId="0" applyNumberFormat="0" applyBorder="0" applyAlignment="0" applyProtection="0"/>
    <xf numFmtId="171" fontId="27" fillId="0" borderId="0" applyNumberFormat="0" applyAlignment="0" applyProtection="0"/>
    <xf numFmtId="169" fontId="16" fillId="0" borderId="15">
      <alignment vertical="center"/>
    </xf>
    <xf numFmtId="169" fontId="16" fillId="0" borderId="15">
      <alignment vertical="center"/>
    </xf>
    <xf numFmtId="169" fontId="16" fillId="0" borderId="15">
      <alignment vertical="center"/>
    </xf>
    <xf numFmtId="43" fontId="4" fillId="0" borderId="0" applyFont="0" applyFill="0" applyBorder="0" applyAlignment="0" applyProtection="0"/>
    <xf numFmtId="171" fontId="9" fillId="8" borderId="0" applyNumberFormat="0" applyBorder="0" applyAlignment="0">
      <protection hidden="1"/>
    </xf>
    <xf numFmtId="171" fontId="28" fillId="0" borderId="0" applyNumberFormat="0" applyFont="0" applyAlignment="0"/>
    <xf numFmtId="165" fontId="9" fillId="0" borderId="0" applyFont="0" applyFill="0" applyBorder="0" applyAlignment="0" applyProtection="0"/>
    <xf numFmtId="167" fontId="9" fillId="0" borderId="0" applyFont="0" applyFill="0" applyBorder="0" applyAlignment="0" applyProtection="0"/>
    <xf numFmtId="171" fontId="9" fillId="0" borderId="0" applyFont="0" applyFill="0" applyBorder="0" applyAlignment="0" applyProtection="0"/>
    <xf numFmtId="171" fontId="29" fillId="0" borderId="0" applyNumberFormat="0" applyFill="0" applyBorder="0" applyAlignment="0" applyProtection="0">
      <alignment vertical="top"/>
      <protection locked="0"/>
    </xf>
    <xf numFmtId="172" fontId="22" fillId="8" borderId="15">
      <alignment horizontal="right" vertical="center"/>
    </xf>
    <xf numFmtId="172" fontId="22" fillId="8" borderId="15">
      <alignment horizontal="right" vertical="center"/>
    </xf>
    <xf numFmtId="172" fontId="22" fillId="8" borderId="15">
      <alignment horizontal="right" vertical="center"/>
    </xf>
    <xf numFmtId="172" fontId="30" fillId="9" borderId="15">
      <alignment horizontal="right" vertical="center"/>
    </xf>
    <xf numFmtId="172" fontId="30" fillId="9" borderId="15">
      <alignment horizontal="right" vertical="center"/>
    </xf>
    <xf numFmtId="172" fontId="30" fillId="9" borderId="15">
      <alignment horizontal="right" vertical="center"/>
    </xf>
    <xf numFmtId="168" fontId="9" fillId="0" borderId="0" applyFont="0" applyFill="0" applyBorder="0" applyAlignment="0" applyProtection="0"/>
    <xf numFmtId="171" fontId="9" fillId="10" borderId="0" applyNumberFormat="0" applyFont="0" applyBorder="0" applyAlignment="0"/>
    <xf numFmtId="165" fontId="31" fillId="0" borderId="0" applyFont="0" applyFill="0" applyBorder="0" applyAlignment="0" applyProtection="0"/>
    <xf numFmtId="167" fontId="31" fillId="0" borderId="0" applyFont="0" applyFill="0" applyBorder="0" applyAlignment="0" applyProtection="0"/>
    <xf numFmtId="164" fontId="31" fillId="0" borderId="0" applyFont="0" applyFill="0" applyBorder="0" applyAlignment="0" applyProtection="0"/>
    <xf numFmtId="166" fontId="31" fillId="0" borderId="0" applyFont="0" applyFill="0" applyBorder="0" applyAlignment="0" applyProtection="0"/>
    <xf numFmtId="171" fontId="32" fillId="0" borderId="0"/>
    <xf numFmtId="171" fontId="9" fillId="0" borderId="0"/>
    <xf numFmtId="171" fontId="32" fillId="0" borderId="0"/>
    <xf numFmtId="171" fontId="15" fillId="0" borderId="0"/>
    <xf numFmtId="171" fontId="9" fillId="0" borderId="0"/>
    <xf numFmtId="4" fontId="25" fillId="0" borderId="15" applyFill="0" applyBorder="0" applyProtection="0">
      <alignment horizontal="right" vertical="center"/>
    </xf>
    <xf numFmtId="171"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1" fontId="9" fillId="0" borderId="0"/>
    <xf numFmtId="171" fontId="33" fillId="1" borderId="23" applyNumberFormat="0" applyProtection="0">
      <alignment horizontal="left" vertical="top"/>
    </xf>
    <xf numFmtId="171" fontId="34" fillId="0" borderId="0"/>
    <xf numFmtId="16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171" fontId="35" fillId="0" borderId="24">
      <alignment horizontal="left"/>
    </xf>
    <xf numFmtId="9" fontId="4" fillId="0" borderId="0" applyFont="0" applyFill="0" applyBorder="0" applyAlignment="0" applyProtection="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51" fillId="0" borderId="0"/>
    <xf numFmtId="171" fontId="51"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51" fillId="0" borderId="0"/>
    <xf numFmtId="171" fontId="51" fillId="0" borderId="0"/>
    <xf numFmtId="171" fontId="4"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9" fillId="0" borderId="0"/>
    <xf numFmtId="171" fontId="4" fillId="0" borderId="0"/>
    <xf numFmtId="171" fontId="4" fillId="0" borderId="0"/>
    <xf numFmtId="171" fontId="9" fillId="0" borderId="0"/>
    <xf numFmtId="171" fontId="9" fillId="0" borderId="0"/>
    <xf numFmtId="171" fontId="51" fillId="0" borderId="0"/>
    <xf numFmtId="171" fontId="9" fillId="0" borderId="0"/>
    <xf numFmtId="171" fontId="9" fillId="0" borderId="0"/>
    <xf numFmtId="171" fontId="51" fillId="0" borderId="0"/>
    <xf numFmtId="171" fontId="51" fillId="0" borderId="0"/>
    <xf numFmtId="171" fontId="9" fillId="0" borderId="0"/>
    <xf numFmtId="171" fontId="9" fillId="0" borderId="0"/>
    <xf numFmtId="171" fontId="9" fillId="0" borderId="0"/>
    <xf numFmtId="171" fontId="9" fillId="0" borderId="0"/>
    <xf numFmtId="171" fontId="51" fillId="0" borderId="0"/>
    <xf numFmtId="171" fontId="71" fillId="0" borderId="0" applyNumberFormat="0" applyFill="0" applyBorder="0" applyAlignment="0" applyProtection="0">
      <alignment vertical="top"/>
      <protection locked="0"/>
    </xf>
    <xf numFmtId="0" fontId="4" fillId="0" borderId="0"/>
    <xf numFmtId="171" fontId="4" fillId="0" borderId="0"/>
    <xf numFmtId="171" fontId="1" fillId="0" borderId="0" applyNumberFormat="0" applyFill="0" applyBorder="0" applyAlignment="0" applyProtection="0"/>
    <xf numFmtId="171" fontId="2" fillId="0" borderId="1" applyNumberFormat="0" applyFill="0" applyAlignment="0" applyProtection="0"/>
    <xf numFmtId="171" fontId="3" fillId="0" borderId="2" applyNumberFormat="0" applyFill="0" applyAlignment="0" applyProtection="0"/>
    <xf numFmtId="171" fontId="3" fillId="0" borderId="0" applyNumberFormat="0" applyFill="0" applyBorder="0" applyAlignment="0" applyProtection="0"/>
    <xf numFmtId="0" fontId="4" fillId="0" borderId="0"/>
    <xf numFmtId="168" fontId="4" fillId="0" borderId="0" applyFont="0" applyFill="0" applyBorder="0" applyAlignment="0" applyProtection="0"/>
    <xf numFmtId="0" fontId="4" fillId="0" borderId="0"/>
    <xf numFmtId="171"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1" fontId="4" fillId="0" borderId="0"/>
    <xf numFmtId="171" fontId="1" fillId="0" borderId="0" applyNumberFormat="0" applyFill="0" applyBorder="0" applyAlignment="0" applyProtection="0"/>
    <xf numFmtId="171" fontId="2" fillId="0" borderId="1" applyNumberFormat="0" applyFill="0" applyAlignment="0" applyProtection="0"/>
    <xf numFmtId="171" fontId="3" fillId="0" borderId="2" applyNumberFormat="0" applyFill="0" applyAlignment="0" applyProtection="0"/>
    <xf numFmtId="171" fontId="3" fillId="0" borderId="0" applyNumberFormat="0" applyFill="0" applyBorder="0" applyAlignment="0" applyProtection="0"/>
    <xf numFmtId="168"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1" fontId="4" fillId="0" borderId="0"/>
    <xf numFmtId="172" fontId="30" fillId="9" borderId="15">
      <alignment horizontal="right" vertical="center"/>
    </xf>
    <xf numFmtId="172" fontId="30" fillId="9" borderId="15">
      <alignment horizontal="right" vertical="center"/>
    </xf>
    <xf numFmtId="172" fontId="30" fillId="9" borderId="15">
      <alignment horizontal="right" vertical="center"/>
    </xf>
    <xf numFmtId="9" fontId="4" fillId="0" borderId="0" applyFont="0" applyFill="0" applyBorder="0" applyAlignment="0" applyProtection="0"/>
    <xf numFmtId="171" fontId="71" fillId="0" borderId="0" applyNumberFormat="0" applyFill="0" applyBorder="0" applyAlignment="0" applyProtection="0">
      <alignment vertical="top"/>
      <protection locked="0"/>
    </xf>
    <xf numFmtId="9" fontId="51" fillId="0" borderId="0" applyFont="0" applyFill="0" applyBorder="0" applyAlignment="0" applyProtection="0"/>
    <xf numFmtId="171" fontId="4" fillId="0" borderId="0"/>
    <xf numFmtId="171"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6"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9" fontId="16" fillId="0" borderId="194">
      <alignment vertical="center"/>
    </xf>
    <xf numFmtId="169" fontId="16" fillId="0" borderId="194">
      <alignment vertical="center"/>
    </xf>
    <xf numFmtId="169" fontId="16" fillId="0" borderId="194">
      <alignment vertical="center"/>
    </xf>
    <xf numFmtId="172" fontId="22" fillId="8" borderId="194">
      <alignment horizontal="right" vertical="center"/>
    </xf>
    <xf numFmtId="172" fontId="22" fillId="8" borderId="194">
      <alignment horizontal="right" vertical="center"/>
    </xf>
    <xf numFmtId="172" fontId="22" fillId="8" borderId="194">
      <alignment horizontal="right" vertical="center"/>
    </xf>
    <xf numFmtId="172" fontId="30" fillId="9" borderId="194">
      <alignment horizontal="right" vertical="center"/>
    </xf>
    <xf numFmtId="172" fontId="30" fillId="9" borderId="194">
      <alignment horizontal="right" vertical="center"/>
    </xf>
    <xf numFmtId="172" fontId="30" fillId="9" borderId="194">
      <alignment horizontal="right" vertical="center"/>
    </xf>
    <xf numFmtId="172" fontId="30" fillId="9" borderId="194">
      <alignment horizontal="right" vertical="center"/>
    </xf>
    <xf numFmtId="172" fontId="30" fillId="9" borderId="194">
      <alignment horizontal="right" vertical="center"/>
    </xf>
    <xf numFmtId="172" fontId="30" fillId="9" borderId="194">
      <alignment horizontal="right" vertical="center"/>
    </xf>
    <xf numFmtId="0" fontId="4" fillId="0" borderId="0"/>
    <xf numFmtId="171" fontId="33" fillId="1" borderId="199" applyNumberFormat="0" applyProtection="0">
      <alignment horizontal="left" vertical="top"/>
    </xf>
    <xf numFmtId="0" fontId="4" fillId="0" borderId="0"/>
    <xf numFmtId="0" fontId="4" fillId="0" borderId="0"/>
    <xf numFmtId="0" fontId="4" fillId="0" borderId="0"/>
    <xf numFmtId="0" fontId="4" fillId="0" borderId="0"/>
    <xf numFmtId="171" fontId="3" fillId="0" borderId="2" applyNumberFormat="0" applyFill="0" applyAlignment="0" applyProtection="0"/>
  </cellStyleXfs>
  <cellXfs count="1209">
    <xf numFmtId="171" fontId="0" fillId="0" borderId="0" xfId="0"/>
    <xf numFmtId="171" fontId="3" fillId="0" borderId="0" xfId="1"/>
    <xf numFmtId="169" fontId="12" fillId="0" borderId="0" xfId="3" applyNumberFormat="1" applyFont="1" applyFill="1"/>
    <xf numFmtId="171" fontId="0" fillId="0" borderId="7" xfId="0" applyBorder="1"/>
    <xf numFmtId="171" fontId="0" fillId="0" borderId="10" xfId="0" applyBorder="1"/>
    <xf numFmtId="171" fontId="6" fillId="0" borderId="7" xfId="0" applyFont="1" applyBorder="1"/>
    <xf numFmtId="171" fontId="16" fillId="0" borderId="0" xfId="5" applyFont="1" applyFill="1" applyBorder="1" applyAlignment="1">
      <alignment wrapText="1"/>
    </xf>
    <xf numFmtId="171" fontId="14" fillId="0" borderId="0" xfId="0" applyFont="1"/>
    <xf numFmtId="171" fontId="6" fillId="0" borderId="0" xfId="0" applyFont="1"/>
    <xf numFmtId="171" fontId="21" fillId="0" borderId="0" xfId="0" applyFont="1" applyBorder="1"/>
    <xf numFmtId="171" fontId="5" fillId="0" borderId="0" xfId="0" applyFont="1"/>
    <xf numFmtId="171" fontId="22" fillId="0" borderId="0" xfId="0" applyFont="1"/>
    <xf numFmtId="171" fontId="37" fillId="12" borderId="15" xfId="0" applyFont="1" applyFill="1" applyBorder="1" applyAlignment="1">
      <alignment horizontal="center" vertical="center" wrapText="1"/>
    </xf>
    <xf numFmtId="171"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1" fontId="0" fillId="0" borderId="0" xfId="0" applyFill="1"/>
    <xf numFmtId="171"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1" fontId="6" fillId="13" borderId="15" xfId="0" applyFont="1" applyFill="1" applyBorder="1"/>
    <xf numFmtId="3" fontId="6" fillId="13" borderId="15" xfId="0" applyNumberFormat="1" applyFont="1" applyFill="1" applyBorder="1" applyAlignment="1">
      <alignment horizontal="center"/>
    </xf>
    <xf numFmtId="173" fontId="0" fillId="0" borderId="0" xfId="0" applyNumberFormat="1" applyAlignment="1">
      <alignment horizontal="center"/>
    </xf>
    <xf numFmtId="3" fontId="0" fillId="13" borderId="15" xfId="0" applyNumberFormat="1" applyFill="1" applyBorder="1" applyAlignment="1">
      <alignment horizontal="center"/>
    </xf>
    <xf numFmtId="171" fontId="6" fillId="14" borderId="15" xfId="0" applyFont="1" applyFill="1" applyBorder="1"/>
    <xf numFmtId="173"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1"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3" fontId="0" fillId="17" borderId="15" xfId="0" applyNumberFormat="1" applyFill="1" applyBorder="1" applyAlignment="1">
      <alignment horizontal="center"/>
    </xf>
    <xf numFmtId="171"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0" fontId="0" fillId="3" borderId="0" xfId="0" applyNumberFormat="1" applyFill="1" applyBorder="1" applyAlignment="1">
      <alignment horizontal="center"/>
    </xf>
    <xf numFmtId="171" fontId="0" fillId="0" borderId="0" xfId="0" applyFill="1" applyBorder="1" applyAlignment="1">
      <alignment horizontal="center"/>
    </xf>
    <xf numFmtId="3" fontId="0" fillId="2" borderId="0" xfId="0" applyNumberFormat="1" applyFill="1" applyBorder="1" applyAlignment="1">
      <alignment horizontal="center"/>
    </xf>
    <xf numFmtId="173"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1" fontId="0" fillId="0" borderId="15" xfId="0" applyFill="1" applyBorder="1"/>
    <xf numFmtId="171" fontId="6" fillId="0" borderId="0" xfId="0" applyFont="1" applyFill="1" applyBorder="1"/>
    <xf numFmtId="171" fontId="0" fillId="0" borderId="0" xfId="0" applyBorder="1"/>
    <xf numFmtId="171" fontId="0" fillId="0" borderId="21" xfId="0" applyBorder="1"/>
    <xf numFmtId="171" fontId="0" fillId="0" borderId="104" xfId="0" applyBorder="1"/>
    <xf numFmtId="171"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1" fontId="47" fillId="0" borderId="0" xfId="0" applyFont="1" applyFill="1"/>
    <xf numFmtId="171"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1" fontId="22" fillId="0" borderId="0" xfId="1" applyFont="1"/>
    <xf numFmtId="173" fontId="22" fillId="14" borderId="15" xfId="0" applyNumberFormat="1" applyFont="1" applyFill="1" applyBorder="1" applyAlignment="1">
      <alignment horizontal="center"/>
    </xf>
    <xf numFmtId="173" fontId="5" fillId="14" borderId="15" xfId="0" applyNumberFormat="1" applyFont="1" applyFill="1" applyBorder="1" applyAlignment="1">
      <alignment horizontal="center"/>
    </xf>
    <xf numFmtId="171"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1" fontId="73" fillId="0" borderId="0" xfId="0" applyFont="1"/>
    <xf numFmtId="171" fontId="77" fillId="0" borderId="0" xfId="0" applyFont="1" applyFill="1" applyBorder="1" applyAlignment="1">
      <alignment horizontal="left" vertical="center" wrapText="1"/>
    </xf>
    <xf numFmtId="171" fontId="74" fillId="0" borderId="0" xfId="0" applyFont="1" applyFill="1" applyBorder="1" applyAlignment="1">
      <alignment horizontal="left" vertical="center" wrapText="1"/>
    </xf>
    <xf numFmtId="171" fontId="76" fillId="0" borderId="0" xfId="0" applyFont="1" applyFill="1" applyBorder="1" applyAlignment="1">
      <alignment horizontal="left" vertical="center" wrapText="1"/>
    </xf>
    <xf numFmtId="171" fontId="79" fillId="0" borderId="0" xfId="0" applyFont="1" applyFill="1"/>
    <xf numFmtId="171" fontId="77" fillId="0" borderId="114" xfId="0" applyFont="1" applyFill="1" applyBorder="1" applyAlignment="1">
      <alignment horizontal="left" vertical="center" wrapText="1"/>
    </xf>
    <xf numFmtId="171" fontId="52" fillId="12" borderId="0" xfId="0" applyFont="1" applyFill="1" applyBorder="1" applyAlignment="1">
      <alignment horizontal="left" vertical="center" wrapText="1"/>
    </xf>
    <xf numFmtId="171" fontId="0" fillId="0" borderId="113" xfId="0" applyBorder="1" applyAlignment="1">
      <alignment vertical="top" wrapText="1"/>
    </xf>
    <xf numFmtId="169" fontId="10" fillId="23" borderId="5" xfId="3" applyNumberFormat="1" applyFont="1" applyFill="1" applyBorder="1" applyAlignment="1">
      <alignment horizontal="center"/>
    </xf>
    <xf numFmtId="169" fontId="10" fillId="23" borderId="5" xfId="3" quotePrefix="1" applyNumberFormat="1" applyFont="1" applyFill="1" applyBorder="1" applyAlignment="1">
      <alignment horizontal="center"/>
    </xf>
    <xf numFmtId="169" fontId="10" fillId="23" borderId="6" xfId="3" applyNumberFormat="1" applyFont="1" applyFill="1" applyBorder="1" applyAlignment="1">
      <alignment horizontal="center"/>
    </xf>
    <xf numFmtId="169" fontId="10" fillId="23" borderId="6" xfId="3" quotePrefix="1" applyNumberFormat="1" applyFont="1" applyFill="1" applyBorder="1" applyAlignment="1">
      <alignment horizontal="center"/>
    </xf>
    <xf numFmtId="169" fontId="11" fillId="23" borderId="5" xfId="3" applyNumberFormat="1" applyFont="1" applyFill="1" applyBorder="1" applyAlignment="1">
      <alignment horizontal="center"/>
    </xf>
    <xf numFmtId="169" fontId="11" fillId="23" borderId="5" xfId="3" quotePrefix="1" applyNumberFormat="1" applyFont="1" applyFill="1" applyBorder="1" applyAlignment="1">
      <alignment horizontal="center"/>
    </xf>
    <xf numFmtId="169" fontId="12" fillId="23" borderId="0" xfId="3" applyNumberFormat="1" applyFont="1" applyFill="1" applyBorder="1" applyAlignment="1">
      <alignment horizontal="center"/>
    </xf>
    <xf numFmtId="169" fontId="10" fillId="23" borderId="9" xfId="3" applyNumberFormat="1" applyFont="1" applyFill="1" applyBorder="1" applyAlignment="1">
      <alignment horizontal="center"/>
    </xf>
    <xf numFmtId="169" fontId="10" fillId="23" borderId="0" xfId="3" quotePrefix="1" applyNumberFormat="1" applyFont="1" applyFill="1" applyBorder="1" applyAlignment="1">
      <alignment horizontal="center"/>
    </xf>
    <xf numFmtId="169" fontId="10" fillId="23" borderId="0" xfId="3" applyNumberFormat="1" applyFont="1" applyFill="1" applyBorder="1" applyAlignment="1">
      <alignment horizontal="center"/>
    </xf>
    <xf numFmtId="169" fontId="10" fillId="23" borderId="9" xfId="3" quotePrefix="1" applyNumberFormat="1" applyFont="1" applyFill="1" applyBorder="1" applyAlignment="1">
      <alignment horizontal="center"/>
    </xf>
    <xf numFmtId="169" fontId="11" fillId="23" borderId="0" xfId="3" applyNumberFormat="1" applyFont="1" applyFill="1" applyBorder="1" applyAlignment="1">
      <alignment horizontal="center"/>
    </xf>
    <xf numFmtId="169" fontId="10" fillId="23" borderId="12" xfId="3" applyNumberFormat="1" applyFont="1" applyFill="1" applyBorder="1" applyAlignment="1">
      <alignment horizontal="center"/>
    </xf>
    <xf numFmtId="169" fontId="10" fillId="23" borderId="13" xfId="3" applyNumberFormat="1" applyFont="1" applyFill="1" applyBorder="1" applyAlignment="1">
      <alignment horizontal="center"/>
    </xf>
    <xf numFmtId="169" fontId="10" fillId="23" borderId="12" xfId="3" quotePrefix="1" applyNumberFormat="1" applyFont="1" applyFill="1" applyBorder="1" applyAlignment="1">
      <alignment horizontal="center"/>
    </xf>
    <xf numFmtId="169" fontId="10" fillId="23" borderId="13" xfId="3" quotePrefix="1" applyNumberFormat="1" applyFont="1" applyFill="1" applyBorder="1" applyAlignment="1">
      <alignment horizontal="center"/>
    </xf>
    <xf numFmtId="169" fontId="11" fillId="23" borderId="12" xfId="3" applyNumberFormat="1" applyFont="1" applyFill="1" applyBorder="1" applyAlignment="1">
      <alignment horizontal="center"/>
    </xf>
    <xf numFmtId="171" fontId="52" fillId="12" borderId="21" xfId="0" applyFont="1" applyFill="1" applyBorder="1" applyAlignment="1">
      <alignment horizontal="left" vertical="center" wrapText="1"/>
    </xf>
    <xf numFmtId="171" fontId="52" fillId="12" borderId="81" xfId="0" applyFont="1" applyFill="1" applyBorder="1" applyAlignment="1">
      <alignment horizontal="left" vertical="center" wrapText="1"/>
    </xf>
    <xf numFmtId="171" fontId="77" fillId="0" borderId="21" xfId="0" applyFont="1" applyFill="1" applyBorder="1" applyAlignment="1">
      <alignment horizontal="left" vertical="center" wrapText="1"/>
    </xf>
    <xf numFmtId="171" fontId="0" fillId="0" borderId="81" xfId="0" applyBorder="1"/>
    <xf numFmtId="171" fontId="0" fillId="0" borderId="21" xfId="0" applyBorder="1" applyAlignment="1">
      <alignment horizontal="justify" wrapText="1"/>
    </xf>
    <xf numFmtId="171" fontId="74" fillId="0" borderId="21" xfId="0" applyFont="1" applyFill="1" applyBorder="1" applyAlignment="1">
      <alignment horizontal="left" vertical="center" wrapText="1"/>
    </xf>
    <xf numFmtId="171" fontId="74" fillId="0" borderId="81" xfId="0" applyFont="1" applyFill="1" applyBorder="1" applyAlignment="1">
      <alignment horizontal="left" vertical="center" wrapText="1"/>
    </xf>
    <xf numFmtId="171" fontId="77" fillId="0" borderId="81" xfId="0" applyFont="1" applyFill="1" applyBorder="1" applyAlignment="1">
      <alignment horizontal="left" vertical="center" wrapText="1"/>
    </xf>
    <xf numFmtId="171" fontId="0" fillId="0" borderId="117" xfId="0" applyBorder="1"/>
    <xf numFmtId="171" fontId="46" fillId="0" borderId="81" xfId="0" applyFont="1" applyFill="1" applyBorder="1" applyAlignment="1">
      <alignment horizontal="justify" wrapText="1"/>
    </xf>
    <xf numFmtId="171" fontId="77" fillId="0" borderId="117" xfId="0" applyFont="1" applyFill="1" applyBorder="1" applyAlignment="1">
      <alignment horizontal="left" vertical="center" wrapText="1"/>
    </xf>
    <xf numFmtId="171" fontId="77" fillId="0" borderId="118" xfId="0" applyFont="1" applyFill="1" applyBorder="1" applyAlignment="1">
      <alignment horizontal="left" vertical="center" wrapText="1"/>
    </xf>
    <xf numFmtId="171" fontId="52" fillId="12" borderId="104" xfId="0" applyFont="1" applyFill="1" applyBorder="1" applyAlignment="1">
      <alignment horizontal="left" vertical="center" wrapText="1"/>
    </xf>
    <xf numFmtId="171" fontId="52" fillId="12" borderId="62" xfId="0" applyFont="1" applyFill="1" applyBorder="1" applyAlignment="1">
      <alignment horizontal="left" vertical="center" wrapText="1"/>
    </xf>
    <xf numFmtId="171" fontId="52" fillId="12" borderId="18" xfId="0" applyFont="1" applyFill="1" applyBorder="1" applyAlignment="1">
      <alignment horizontal="left" vertical="center" wrapText="1"/>
    </xf>
    <xf numFmtId="171" fontId="0" fillId="0" borderId="62" xfId="0" applyBorder="1"/>
    <xf numFmtId="171" fontId="0" fillId="0" borderId="18" xfId="0" applyBorder="1"/>
    <xf numFmtId="171" fontId="75" fillId="12" borderId="87" xfId="0" applyFont="1" applyFill="1" applyBorder="1" applyAlignment="1">
      <alignment horizontal="left" vertical="center" wrapText="1"/>
    </xf>
    <xf numFmtId="171" fontId="75" fillId="12" borderId="16" xfId="0" applyFont="1" applyFill="1" applyBorder="1" applyAlignment="1">
      <alignment horizontal="left" vertical="center" wrapText="1"/>
    </xf>
    <xf numFmtId="171" fontId="72" fillId="0" borderId="21" xfId="0" applyFont="1" applyFill="1" applyBorder="1" applyAlignment="1">
      <alignment vertical="top" wrapText="1"/>
    </xf>
    <xf numFmtId="171" fontId="71" fillId="0" borderId="115" xfId="148" applyBorder="1" applyAlignment="1" applyProtection="1">
      <alignment vertical="top"/>
    </xf>
    <xf numFmtId="171" fontId="0" fillId="0" borderId="116" xfId="0" applyBorder="1" applyAlignment="1">
      <alignment vertical="top"/>
    </xf>
    <xf numFmtId="171" fontId="0" fillId="0" borderId="104" xfId="0" applyFill="1" applyBorder="1"/>
    <xf numFmtId="171" fontId="0" fillId="0" borderId="115" xfId="0" applyBorder="1" applyAlignment="1">
      <alignment horizontal="justify" vertical="top"/>
    </xf>
    <xf numFmtId="171" fontId="0" fillId="0" borderId="21" xfId="0" applyBorder="1" applyAlignment="1">
      <alignment horizontal="left" vertical="top" indent="2"/>
    </xf>
    <xf numFmtId="171" fontId="0" fillId="0" borderId="21" xfId="0" applyBorder="1" applyAlignment="1">
      <alignment horizontal="justify" vertical="top"/>
    </xf>
    <xf numFmtId="171" fontId="0" fillId="0" borderId="104" xfId="0" applyBorder="1" applyAlignment="1">
      <alignment horizontal="justify" vertical="top"/>
    </xf>
    <xf numFmtId="171" fontId="0" fillId="0" borderId="115" xfId="0" applyFill="1" applyBorder="1"/>
    <xf numFmtId="171" fontId="6" fillId="23" borderId="19" xfId="0" applyFont="1" applyFill="1" applyBorder="1"/>
    <xf numFmtId="171" fontId="0" fillId="0" borderId="121" xfId="0" applyBorder="1"/>
    <xf numFmtId="171" fontId="71" fillId="0" borderId="21" xfId="148" applyBorder="1" applyAlignment="1" applyProtection="1">
      <alignment vertical="top"/>
    </xf>
    <xf numFmtId="171" fontId="0" fillId="0" borderId="0" xfId="0" applyBorder="1" applyAlignment="1">
      <alignment vertical="top" wrapText="1"/>
    </xf>
    <xf numFmtId="171" fontId="0" fillId="0" borderId="122" xfId="0" applyBorder="1"/>
    <xf numFmtId="171" fontId="85" fillId="0" borderId="121" xfId="0" applyFont="1" applyBorder="1"/>
    <xf numFmtId="171" fontId="16" fillId="0" borderId="12" xfId="5" applyFont="1" applyFill="1" applyBorder="1" applyAlignment="1">
      <alignment wrapText="1"/>
    </xf>
    <xf numFmtId="171" fontId="0" fillId="0" borderId="0" xfId="0" applyBorder="1" applyAlignment="1">
      <alignment horizontal="left"/>
    </xf>
    <xf numFmtId="171" fontId="0" fillId="0" borderId="124" xfId="0" applyBorder="1"/>
    <xf numFmtId="171" fontId="22" fillId="0" borderId="113" xfId="0" applyFont="1" applyBorder="1" applyAlignment="1">
      <alignment vertical="top" wrapText="1"/>
    </xf>
    <xf numFmtId="171" fontId="22" fillId="0" borderId="116" xfId="0" applyFont="1" applyBorder="1" applyAlignment="1">
      <alignment vertical="top"/>
    </xf>
    <xf numFmtId="171" fontId="22" fillId="0" borderId="122" xfId="0" applyFont="1" applyBorder="1"/>
    <xf numFmtId="171" fontId="22" fillId="0" borderId="124" xfId="0" applyFont="1" applyBorder="1"/>
    <xf numFmtId="171" fontId="22" fillId="0" borderId="121" xfId="0" applyFont="1" applyBorder="1"/>
    <xf numFmtId="171" fontId="52" fillId="12" borderId="19" xfId="0" applyFont="1" applyFill="1" applyBorder="1" applyAlignment="1">
      <alignment horizontal="left" vertical="center" wrapText="1"/>
    </xf>
    <xf numFmtId="49" fontId="88" fillId="23" borderId="19" xfId="0" applyNumberFormat="1" applyFont="1" applyFill="1" applyBorder="1"/>
    <xf numFmtId="171" fontId="44" fillId="0" borderId="21" xfId="0" applyFont="1" applyFill="1" applyBorder="1" applyAlignment="1">
      <alignment horizontal="justify" vertical="top"/>
    </xf>
    <xf numFmtId="171" fontId="44" fillId="0" borderId="117" xfId="0" applyFont="1" applyFill="1" applyBorder="1" applyAlignment="1">
      <alignment horizontal="justify" vertical="top"/>
    </xf>
    <xf numFmtId="171" fontId="0" fillId="0" borderId="116" xfId="0" applyFill="1" applyBorder="1" applyAlignment="1">
      <alignment horizontal="left"/>
    </xf>
    <xf numFmtId="171" fontId="0" fillId="0" borderId="18" xfId="0" applyFill="1" applyBorder="1" applyAlignment="1">
      <alignment horizontal="left"/>
    </xf>
    <xf numFmtId="171" fontId="71" fillId="0" borderId="0" xfId="148" applyBorder="1" applyAlignment="1" applyProtection="1">
      <alignment vertical="top"/>
    </xf>
    <xf numFmtId="171" fontId="6" fillId="0" borderId="114" xfId="0" applyFont="1" applyBorder="1"/>
    <xf numFmtId="171" fontId="71" fillId="0" borderId="81" xfId="148" applyBorder="1" applyAlignment="1" applyProtection="1"/>
    <xf numFmtId="171" fontId="71" fillId="0" borderId="81" xfId="148" quotePrefix="1" applyBorder="1" applyAlignment="1" applyProtection="1"/>
    <xf numFmtId="171" fontId="6" fillId="0" borderId="118" xfId="0" applyFont="1" applyBorder="1"/>
    <xf numFmtId="169" fontId="10" fillId="0" borderId="5" xfId="3" applyNumberFormat="1" applyFont="1" applyFill="1" applyBorder="1" applyAlignment="1">
      <alignment horizontal="center"/>
    </xf>
    <xf numFmtId="169" fontId="10" fillId="0" borderId="5" xfId="3" quotePrefix="1" applyNumberFormat="1" applyFont="1" applyFill="1" applyBorder="1" applyAlignment="1">
      <alignment horizontal="center"/>
    </xf>
    <xf numFmtId="169" fontId="11" fillId="0" borderId="5" xfId="3" applyNumberFormat="1" applyFont="1" applyFill="1" applyBorder="1" applyAlignment="1">
      <alignment horizontal="center"/>
    </xf>
    <xf numFmtId="169" fontId="10" fillId="0" borderId="4" xfId="3" applyNumberFormat="1" applyFont="1" applyFill="1" applyBorder="1" applyAlignment="1">
      <alignment horizontal="center"/>
    </xf>
    <xf numFmtId="171" fontId="22" fillId="0" borderId="5" xfId="0" applyFont="1" applyFill="1" applyBorder="1" applyAlignment="1">
      <alignment horizontal="left" vertical="top" wrapText="1"/>
    </xf>
    <xf numFmtId="169" fontId="10" fillId="0" borderId="0" xfId="3" quotePrefix="1" applyNumberFormat="1" applyFont="1" applyFill="1" applyBorder="1" applyAlignment="1">
      <alignment horizontal="center"/>
    </xf>
    <xf numFmtId="169" fontId="10" fillId="0" borderId="0" xfId="3" applyNumberFormat="1" applyFont="1" applyFill="1" applyBorder="1" applyAlignment="1">
      <alignment horizontal="center"/>
    </xf>
    <xf numFmtId="169" fontId="11" fillId="0" borderId="0" xfId="3" applyNumberFormat="1" applyFont="1" applyFill="1" applyBorder="1" applyAlignment="1">
      <alignment horizontal="center"/>
    </xf>
    <xf numFmtId="171" fontId="22" fillId="0" borderId="3" xfId="0" applyFont="1" applyFill="1" applyBorder="1" applyAlignment="1">
      <alignment horizontal="left" vertical="top" wrapText="1"/>
    </xf>
    <xf numFmtId="171" fontId="0" fillId="0" borderId="62" xfId="0" applyFill="1" applyBorder="1"/>
    <xf numFmtId="171" fontId="5" fillId="0" borderId="0" xfId="0" applyFont="1" applyBorder="1"/>
    <xf numFmtId="171" fontId="0" fillId="0" borderId="135" xfId="0" applyBorder="1"/>
    <xf numFmtId="171" fontId="0" fillId="0" borderId="136" xfId="0" applyBorder="1"/>
    <xf numFmtId="171" fontId="22" fillId="0" borderId="0" xfId="0" applyFont="1" applyBorder="1" applyAlignment="1">
      <alignment vertical="top" wrapText="1"/>
    </xf>
    <xf numFmtId="171" fontId="22" fillId="0" borderId="81" xfId="0" applyFont="1" applyBorder="1" applyAlignment="1">
      <alignment vertical="top"/>
    </xf>
    <xf numFmtId="3" fontId="0" fillId="13" borderId="15" xfId="0" quotePrefix="1" applyNumberFormat="1" applyFill="1" applyBorder="1" applyAlignment="1">
      <alignment horizontal="center"/>
    </xf>
    <xf numFmtId="171" fontId="22" fillId="0" borderId="116" xfId="0" applyFont="1" applyBorder="1" applyAlignment="1">
      <alignment vertical="top" wrapText="1"/>
    </xf>
    <xf numFmtId="171" fontId="17" fillId="0" borderId="0" xfId="0" applyFont="1" applyFill="1" applyAlignment="1">
      <alignment horizontal="center"/>
    </xf>
    <xf numFmtId="169" fontId="0" fillId="0" borderId="0" xfId="0" applyNumberFormat="1" applyFill="1" applyBorder="1" applyAlignment="1">
      <alignment horizontal="center"/>
    </xf>
    <xf numFmtId="171" fontId="5" fillId="0" borderId="0" xfId="0" applyFont="1" applyBorder="1" applyAlignment="1">
      <alignment horizontal="left"/>
    </xf>
    <xf numFmtId="171" fontId="17" fillId="0" borderId="0" xfId="0" applyFont="1" applyBorder="1" applyAlignment="1">
      <alignment horizontal="center"/>
    </xf>
    <xf numFmtId="172" fontId="0" fillId="3" borderId="0" xfId="0" quotePrefix="1" applyNumberFormat="1" applyFill="1" applyBorder="1" applyAlignment="1">
      <alignment horizontal="center"/>
    </xf>
    <xf numFmtId="172" fontId="0" fillId="3" borderId="0" xfId="0" applyNumberFormat="1" applyFill="1" applyBorder="1" applyAlignment="1">
      <alignment horizontal="center"/>
    </xf>
    <xf numFmtId="3" fontId="17" fillId="0" borderId="0" xfId="0" applyNumberFormat="1" applyFont="1" applyBorder="1" applyAlignment="1">
      <alignment horizontal="center"/>
    </xf>
    <xf numFmtId="171" fontId="17" fillId="0" borderId="0" xfId="0" applyFont="1" applyFill="1" applyBorder="1" applyAlignment="1">
      <alignment horizontal="center"/>
    </xf>
    <xf numFmtId="169" fontId="0" fillId="0" borderId="0" xfId="0" quotePrefix="1" applyNumberFormat="1" applyFill="1" applyBorder="1" applyAlignment="1">
      <alignment horizontal="center"/>
    </xf>
    <xf numFmtId="171" fontId="16" fillId="0" borderId="7" xfId="5" applyFont="1" applyFill="1" applyBorder="1" applyAlignment="1">
      <alignment wrapText="1"/>
    </xf>
    <xf numFmtId="171" fontId="40" fillId="0" borderId="7" xfId="5" applyFont="1" applyFill="1" applyBorder="1" applyAlignment="1">
      <alignment wrapText="1"/>
    </xf>
    <xf numFmtId="171" fontId="5" fillId="0" borderId="8" xfId="0" applyFont="1" applyBorder="1"/>
    <xf numFmtId="171" fontId="0" fillId="0" borderId="8" xfId="0" applyBorder="1"/>
    <xf numFmtId="171" fontId="16" fillId="0" borderId="10" xfId="5" applyFont="1" applyFill="1" applyBorder="1" applyAlignment="1">
      <alignment wrapText="1"/>
    </xf>
    <xf numFmtId="171" fontId="0" fillId="0" borderId="11" xfId="0" applyBorder="1"/>
    <xf numFmtId="171" fontId="5" fillId="0" borderId="8" xfId="0" applyFont="1" applyBorder="1" applyAlignment="1">
      <alignment horizontal="left"/>
    </xf>
    <xf numFmtId="171" fontId="0" fillId="0" borderId="12" xfId="0" applyBorder="1"/>
    <xf numFmtId="171" fontId="5" fillId="0" borderId="11" xfId="0" applyFont="1" applyBorder="1" applyAlignment="1">
      <alignment horizontal="left"/>
    </xf>
    <xf numFmtId="171" fontId="0" fillId="0" borderId="12" xfId="0" applyFill="1" applyBorder="1"/>
    <xf numFmtId="171" fontId="0" fillId="0" borderId="0" xfId="0" applyFill="1" applyBorder="1" applyAlignment="1">
      <alignment horizontal="left"/>
    </xf>
    <xf numFmtId="171" fontId="0" fillId="0" borderId="114" xfId="0" applyFont="1" applyFill="1" applyBorder="1"/>
    <xf numFmtId="171" fontId="39" fillId="0" borderId="137" xfId="5" applyFont="1" applyFill="1" applyBorder="1" applyAlignment="1">
      <alignment wrapText="1"/>
    </xf>
    <xf numFmtId="171" fontId="6" fillId="23" borderId="103" xfId="0" applyFont="1" applyFill="1" applyBorder="1"/>
    <xf numFmtId="171" fontId="6" fillId="23" borderId="53" xfId="0" applyFont="1" applyFill="1" applyBorder="1"/>
    <xf numFmtId="171" fontId="6" fillId="23" borderId="102" xfId="0" applyFont="1" applyFill="1" applyBorder="1"/>
    <xf numFmtId="3" fontId="0" fillId="0" borderId="62" xfId="0" applyNumberFormat="1" applyFill="1" applyBorder="1"/>
    <xf numFmtId="171" fontId="71" fillId="0" borderId="18" xfId="148" applyBorder="1" applyAlignment="1" applyProtection="1"/>
    <xf numFmtId="171" fontId="85" fillId="0" borderId="139" xfId="0" applyFont="1" applyBorder="1"/>
    <xf numFmtId="171" fontId="5" fillId="0" borderId="62" xfId="0" applyFont="1" applyBorder="1"/>
    <xf numFmtId="171" fontId="5" fillId="0" borderId="18" xfId="0" applyFont="1" applyBorder="1"/>
    <xf numFmtId="171" fontId="71" fillId="0" borderId="18" xfId="148" quotePrefix="1" applyBorder="1" applyAlignment="1" applyProtection="1"/>
    <xf numFmtId="171" fontId="6" fillId="23" borderId="3" xfId="0" applyFont="1" applyFill="1" applyBorder="1"/>
    <xf numFmtId="171" fontId="39" fillId="23" borderId="3" xfId="5" applyFont="1" applyFill="1" applyBorder="1" applyAlignment="1">
      <alignment wrapText="1"/>
    </xf>
    <xf numFmtId="171" fontId="23" fillId="0" borderId="0" xfId="0" applyFont="1" applyBorder="1" applyAlignment="1">
      <alignment horizontal="justify"/>
    </xf>
    <xf numFmtId="171" fontId="0" fillId="0" borderId="0" xfId="0" applyFill="1" applyBorder="1" applyAlignment="1">
      <alignment horizontal="left" vertical="top" indent="2"/>
    </xf>
    <xf numFmtId="171" fontId="24" fillId="0" borderId="0" xfId="0" applyFont="1" applyBorder="1"/>
    <xf numFmtId="171" fontId="0" fillId="23" borderId="141" xfId="0" applyFont="1" applyFill="1" applyBorder="1"/>
    <xf numFmtId="171" fontId="0" fillId="23" borderId="142" xfId="0" applyFont="1" applyFill="1" applyBorder="1"/>
    <xf numFmtId="171" fontId="0" fillId="23" borderId="53" xfId="0" applyFont="1" applyFill="1" applyBorder="1"/>
    <xf numFmtId="171" fontId="0" fillId="23" borderId="102" xfId="0" applyFont="1" applyFill="1" applyBorder="1"/>
    <xf numFmtId="171" fontId="6" fillId="0" borderId="114" xfId="0" applyFont="1" applyBorder="1" applyAlignment="1">
      <alignment horizontal="center"/>
    </xf>
    <xf numFmtId="171" fontId="0" fillId="23" borderId="5" xfId="0" applyFill="1" applyBorder="1"/>
    <xf numFmtId="171" fontId="94" fillId="23" borderId="4" xfId="0" applyFont="1" applyFill="1" applyBorder="1"/>
    <xf numFmtId="171" fontId="94" fillId="0" borderId="8" xfId="0" applyFont="1" applyFill="1" applyBorder="1"/>
    <xf numFmtId="171" fontId="40" fillId="0" borderId="137" xfId="5" applyFont="1" applyFill="1" applyBorder="1" applyAlignment="1">
      <alignment wrapText="1"/>
    </xf>
    <xf numFmtId="171" fontId="0" fillId="0" borderId="114" xfId="0" applyFill="1" applyBorder="1"/>
    <xf numFmtId="171" fontId="6" fillId="0" borderId="114" xfId="0" applyFont="1" applyFill="1" applyBorder="1"/>
    <xf numFmtId="171" fontId="94" fillId="0" borderId="8" xfId="0" applyFont="1" applyBorder="1"/>
    <xf numFmtId="171" fontId="0" fillId="0" borderId="143" xfId="0" applyBorder="1"/>
    <xf numFmtId="171" fontId="44" fillId="0" borderId="7" xfId="0" applyFont="1" applyFill="1" applyBorder="1" applyAlignment="1">
      <alignment horizontal="left" vertical="top" wrapText="1"/>
    </xf>
    <xf numFmtId="171" fontId="44" fillId="0" borderId="0" xfId="0" applyFont="1" applyFill="1" applyBorder="1" applyAlignment="1">
      <alignment horizontal="left" vertical="top" wrapText="1"/>
    </xf>
    <xf numFmtId="169" fontId="10" fillId="0" borderId="8" xfId="3" applyNumberFormat="1" applyFont="1" applyFill="1" applyBorder="1" applyAlignment="1">
      <alignment horizontal="center"/>
    </xf>
    <xf numFmtId="171" fontId="6" fillId="0" borderId="147" xfId="0" applyFont="1" applyBorder="1"/>
    <xf numFmtId="171" fontId="0" fillId="0" borderId="148" xfId="0" applyBorder="1" applyAlignment="1">
      <alignment horizontal="center"/>
    </xf>
    <xf numFmtId="171" fontId="6" fillId="0" borderId="150" xfId="0" applyFont="1" applyBorder="1"/>
    <xf numFmtId="171" fontId="0" fillId="0" borderId="146" xfId="0" applyBorder="1" applyAlignment="1">
      <alignment horizontal="center"/>
    </xf>
    <xf numFmtId="171" fontId="0" fillId="0" borderId="152" xfId="0" applyBorder="1"/>
    <xf numFmtId="171" fontId="16" fillId="0" borderId="124" xfId="5" applyFont="1" applyFill="1" applyBorder="1" applyAlignment="1">
      <alignment wrapText="1"/>
    </xf>
    <xf numFmtId="171" fontId="0" fillId="0" borderId="146" xfId="0" applyBorder="1" applyAlignment="1">
      <alignment horizontal="left"/>
    </xf>
    <xf numFmtId="171" fontId="6" fillId="0" borderId="152" xfId="0" applyFont="1" applyBorder="1"/>
    <xf numFmtId="171" fontId="44" fillId="0" borderId="138" xfId="0" applyFont="1" applyFill="1" applyBorder="1"/>
    <xf numFmtId="171" fontId="44" fillId="0" borderId="138" xfId="0" applyFont="1" applyBorder="1"/>
    <xf numFmtId="171" fontId="6" fillId="0" borderId="124" xfId="0" applyFont="1" applyFill="1" applyBorder="1"/>
    <xf numFmtId="171" fontId="0" fillId="23" borderId="4" xfId="0" applyFill="1" applyBorder="1"/>
    <xf numFmtId="171" fontId="6" fillId="0" borderId="137" xfId="0" applyFont="1" applyBorder="1"/>
    <xf numFmtId="171" fontId="44" fillId="0" borderId="138" xfId="0" applyFont="1" applyBorder="1" applyAlignment="1">
      <alignment horizontal="center"/>
    </xf>
    <xf numFmtId="171" fontId="0" fillId="0" borderId="8" xfId="0" applyFill="1" applyBorder="1" applyAlignment="1">
      <alignment horizontal="center"/>
    </xf>
    <xf numFmtId="172" fontId="0" fillId="0" borderId="8" xfId="0" applyNumberFormat="1" applyFill="1" applyBorder="1" applyAlignment="1">
      <alignment horizontal="center"/>
    </xf>
    <xf numFmtId="171" fontId="39" fillId="0" borderId="7" xfId="5" applyFont="1" applyFill="1" applyBorder="1" applyAlignment="1">
      <alignment wrapText="1"/>
    </xf>
    <xf numFmtId="171" fontId="0" fillId="0" borderId="7" xfId="0" applyFill="1" applyBorder="1"/>
    <xf numFmtId="171" fontId="0" fillId="0" borderId="8" xfId="0" applyFill="1" applyBorder="1"/>
    <xf numFmtId="171" fontId="0" fillId="0" borderId="8" xfId="0" applyBorder="1" applyAlignment="1">
      <alignment horizontal="center"/>
    </xf>
    <xf numFmtId="171" fontId="5" fillId="0" borderId="8" xfId="0" applyFont="1" applyBorder="1" applyAlignment="1">
      <alignment horizontal="center"/>
    </xf>
    <xf numFmtId="169" fontId="0" fillId="0" borderId="12" xfId="0" quotePrefix="1" applyNumberFormat="1" applyFill="1" applyBorder="1" applyAlignment="1">
      <alignment horizontal="center"/>
    </xf>
    <xf numFmtId="171" fontId="6" fillId="0" borderId="7" xfId="0" applyFont="1" applyFill="1" applyBorder="1"/>
    <xf numFmtId="171" fontId="16" fillId="0" borderId="8" xfId="5" applyFont="1" applyFill="1" applyBorder="1" applyAlignment="1">
      <alignment wrapText="1"/>
    </xf>
    <xf numFmtId="171" fontId="17" fillId="0" borderId="152" xfId="0" applyFont="1" applyFill="1" applyBorder="1"/>
    <xf numFmtId="171" fontId="39" fillId="0" borderId="154" xfId="5" applyFont="1" applyFill="1" applyBorder="1" applyAlignment="1">
      <alignment wrapText="1"/>
    </xf>
    <xf numFmtId="171" fontId="0" fillId="0" borderId="10" xfId="0" applyFill="1" applyBorder="1"/>
    <xf numFmtId="171" fontId="0" fillId="0" borderId="11" xfId="0" applyFill="1" applyBorder="1"/>
    <xf numFmtId="171" fontId="6" fillId="0" borderId="152" xfId="0" applyFont="1" applyFill="1" applyBorder="1"/>
    <xf numFmtId="171" fontId="0" fillId="0" borderId="124" xfId="0" applyFill="1" applyBorder="1"/>
    <xf numFmtId="171" fontId="6" fillId="0" borderId="154" xfId="0" applyFont="1" applyFill="1" applyBorder="1"/>
    <xf numFmtId="171" fontId="16" fillId="0" borderId="155" xfId="5" applyFont="1" applyFill="1" applyBorder="1" applyAlignment="1">
      <alignment wrapText="1"/>
    </xf>
    <xf numFmtId="170"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1" fontId="5" fillId="0" borderId="0" xfId="0" applyFont="1" applyFill="1"/>
    <xf numFmtId="3" fontId="95" fillId="0" borderId="0" xfId="0" applyNumberFormat="1" applyFont="1" applyFill="1" applyBorder="1" applyAlignment="1">
      <alignment horizontal="center" vertical="center" wrapText="1"/>
    </xf>
    <xf numFmtId="170"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1" fontId="17" fillId="0" borderId="7" xfId="0" applyFont="1" applyFill="1" applyBorder="1"/>
    <xf numFmtId="171" fontId="0" fillId="0" borderId="150" xfId="0" applyFill="1" applyBorder="1"/>
    <xf numFmtId="171" fontId="0" fillId="0" borderId="7" xfId="0" applyFont="1" applyFill="1" applyBorder="1"/>
    <xf numFmtId="171" fontId="0" fillId="0" borderId="156" xfId="0" applyFill="1" applyBorder="1" applyAlignment="1">
      <alignment horizontal="left"/>
    </xf>
    <xf numFmtId="3" fontId="5" fillId="0" borderId="0" xfId="0" applyNumberFormat="1" applyFont="1" applyAlignment="1">
      <alignment horizontal="center"/>
    </xf>
    <xf numFmtId="171" fontId="3" fillId="0" borderId="155" xfId="1" applyBorder="1"/>
    <xf numFmtId="171" fontId="3" fillId="0" borderId="0" xfId="1" applyBorder="1"/>
    <xf numFmtId="171" fontId="0" fillId="0" borderId="155" xfId="0" applyBorder="1"/>
    <xf numFmtId="171" fontId="44" fillId="23" borderId="3" xfId="1" applyFont="1" applyFill="1" applyBorder="1"/>
    <xf numFmtId="171" fontId="22" fillId="23" borderId="5" xfId="0" applyFont="1" applyFill="1" applyBorder="1"/>
    <xf numFmtId="171" fontId="22" fillId="23" borderId="4" xfId="0" applyFont="1" applyFill="1" applyBorder="1"/>
    <xf numFmtId="171" fontId="0" fillId="0" borderId="0" xfId="0" applyFont="1" applyBorder="1"/>
    <xf numFmtId="171" fontId="0" fillId="0" borderId="124" xfId="0" applyFont="1" applyFill="1" applyBorder="1"/>
    <xf numFmtId="171"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1" fontId="0" fillId="0" borderId="154" xfId="0" applyFill="1" applyBorder="1"/>
    <xf numFmtId="171" fontId="49" fillId="0" borderId="152" xfId="0" applyFont="1" applyFill="1" applyBorder="1" applyAlignment="1">
      <alignment vertical="center"/>
    </xf>
    <xf numFmtId="171" fontId="0" fillId="0" borderId="124" xfId="0" applyFont="1" applyFill="1" applyBorder="1" applyAlignment="1">
      <alignment horizontal="center" vertical="center"/>
    </xf>
    <xf numFmtId="171" fontId="0" fillId="0" borderId="150" xfId="0" applyFont="1" applyFill="1" applyBorder="1" applyAlignment="1">
      <alignment vertical="center"/>
    </xf>
    <xf numFmtId="170"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1" fontId="0" fillId="0" borderId="155" xfId="0" applyFont="1" applyFill="1" applyBorder="1" applyAlignment="1">
      <alignment vertical="center"/>
    </xf>
    <xf numFmtId="170"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1"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1" fontId="0" fillId="0" borderId="8" xfId="0" applyFont="1" applyFill="1" applyBorder="1"/>
    <xf numFmtId="171" fontId="50" fillId="0" borderId="0" xfId="0" applyFont="1" applyFill="1" applyBorder="1"/>
    <xf numFmtId="10" fontId="4" fillId="0" borderId="124" xfId="52" applyNumberFormat="1" applyFont="1" applyFill="1" applyBorder="1" applyAlignment="1">
      <alignment horizontal="center" vertical="center"/>
    </xf>
    <xf numFmtId="171" fontId="6" fillId="0" borderId="3" xfId="0" applyFont="1" applyBorder="1"/>
    <xf numFmtId="171" fontId="22" fillId="0" borderId="155" xfId="0" applyFont="1" applyBorder="1"/>
    <xf numFmtId="171" fontId="22" fillId="0" borderId="155" xfId="0" applyFont="1" applyFill="1" applyBorder="1"/>
    <xf numFmtId="171" fontId="22" fillId="0" borderId="0" xfId="0" applyFont="1" applyFill="1" applyBorder="1"/>
    <xf numFmtId="9" fontId="22" fillId="0" borderId="0" xfId="0" applyNumberFormat="1" applyFont="1" applyBorder="1"/>
    <xf numFmtId="171" fontId="47" fillId="0" borderId="10" xfId="0" applyFont="1" applyBorder="1"/>
    <xf numFmtId="9" fontId="47" fillId="0" borderId="12" xfId="0" applyNumberFormat="1" applyFont="1" applyBorder="1"/>
    <xf numFmtId="171" fontId="22" fillId="0" borderId="155" xfId="1" applyFont="1" applyFill="1" applyBorder="1"/>
    <xf numFmtId="171" fontId="22" fillId="0" borderId="8" xfId="0" applyFont="1" applyFill="1" applyBorder="1"/>
    <xf numFmtId="171" fontId="22" fillId="0" borderId="152" xfId="1" applyFont="1" applyBorder="1"/>
    <xf numFmtId="171" fontId="22" fillId="0" borderId="154" xfId="0" applyFont="1" applyBorder="1"/>
    <xf numFmtId="171" fontId="6" fillId="0" borderId="3" xfId="0" applyFont="1" applyFill="1" applyBorder="1"/>
    <xf numFmtId="171" fontId="6" fillId="0" borderId="0" xfId="0" applyFont="1" applyFill="1"/>
    <xf numFmtId="9" fontId="22" fillId="3" borderId="0" xfId="0" applyNumberFormat="1" applyFont="1" applyFill="1" applyBorder="1"/>
    <xf numFmtId="171" fontId="22" fillId="0" borderId="8" xfId="0" applyFont="1" applyBorder="1"/>
    <xf numFmtId="171" fontId="0" fillId="0" borderId="81" xfId="0" applyBorder="1" applyAlignment="1">
      <alignment vertical="top" wrapText="1"/>
    </xf>
    <xf numFmtId="171" fontId="6" fillId="0" borderId="81" xfId="0" applyFont="1" applyFill="1" applyBorder="1"/>
    <xf numFmtId="171"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1" fontId="0" fillId="0" borderId="18" xfId="0" applyFill="1" applyBorder="1"/>
    <xf numFmtId="3" fontId="59" fillId="18" borderId="159" xfId="0" applyNumberFormat="1" applyFont="1" applyFill="1" applyBorder="1" applyAlignment="1">
      <alignment horizontal="center" vertical="center"/>
    </xf>
    <xf numFmtId="171"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1"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1"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4" fontId="0" fillId="0" borderId="0" xfId="0" applyNumberFormat="1"/>
    <xf numFmtId="10" fontId="0" fillId="0" borderId="0" xfId="52" applyNumberFormat="1" applyFont="1"/>
    <xf numFmtId="171" fontId="48" fillId="0" borderId="0" xfId="0" applyFont="1"/>
    <xf numFmtId="10" fontId="0" fillId="3" borderId="0" xfId="52" applyNumberFormat="1" applyFont="1" applyFill="1"/>
    <xf numFmtId="171" fontId="9" fillId="4" borderId="152" xfId="0" applyFont="1" applyFill="1" applyBorder="1" applyAlignment="1">
      <alignment vertical="center"/>
    </xf>
    <xf numFmtId="175" fontId="6" fillId="0" borderId="5" xfId="0" applyNumberFormat="1" applyFont="1" applyBorder="1"/>
    <xf numFmtId="175" fontId="22" fillId="3" borderId="0" xfId="0" applyNumberFormat="1" applyFont="1" applyFill="1" applyBorder="1"/>
    <xf numFmtId="175" fontId="22" fillId="3" borderId="8" xfId="0" applyNumberFormat="1" applyFont="1" applyFill="1" applyBorder="1"/>
    <xf numFmtId="175" fontId="22" fillId="3" borderId="0" xfId="1" applyNumberFormat="1" applyFont="1" applyFill="1" applyBorder="1"/>
    <xf numFmtId="175" fontId="22" fillId="3" borderId="12" xfId="0" applyNumberFormat="1" applyFont="1" applyFill="1" applyBorder="1"/>
    <xf numFmtId="175" fontId="22" fillId="3" borderId="12" xfId="1" applyNumberFormat="1" applyFont="1" applyFill="1" applyBorder="1"/>
    <xf numFmtId="175" fontId="22" fillId="3" borderId="11" xfId="0" applyNumberFormat="1" applyFont="1" applyFill="1" applyBorder="1"/>
    <xf numFmtId="175"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1" fontId="0" fillId="0" borderId="172" xfId="0" applyBorder="1"/>
    <xf numFmtId="171" fontId="0" fillId="0" borderId="172" xfId="0" applyBorder="1" applyAlignment="1">
      <alignment horizontal="justify" wrapText="1"/>
    </xf>
    <xf numFmtId="171" fontId="0" fillId="0" borderId="171" xfId="0" applyBorder="1"/>
    <xf numFmtId="171" fontId="0" fillId="0" borderId="116" xfId="0" applyBorder="1" applyAlignment="1">
      <alignment horizontal="left" vertical="top" wrapText="1"/>
    </xf>
    <xf numFmtId="170" fontId="6" fillId="0" borderId="5" xfId="0" applyNumberFormat="1" applyFont="1" applyBorder="1" applyAlignment="1">
      <alignment horizontal="right"/>
    </xf>
    <xf numFmtId="175" fontId="0" fillId="3" borderId="14" xfId="0" quotePrefix="1" applyNumberFormat="1" applyFill="1" applyBorder="1" applyAlignment="1">
      <alignment horizontal="right"/>
    </xf>
    <xf numFmtId="175" fontId="6" fillId="0" borderId="5" xfId="0" applyNumberFormat="1" applyFont="1" applyFill="1" applyBorder="1" applyAlignment="1">
      <alignment horizontal="right"/>
    </xf>
    <xf numFmtId="175" fontId="6" fillId="0" borderId="4" xfId="0" applyNumberFormat="1" applyFont="1" applyFill="1" applyBorder="1" applyAlignment="1">
      <alignment horizontal="right"/>
    </xf>
    <xf numFmtId="175" fontId="0" fillId="3" borderId="28" xfId="0" quotePrefix="1" applyNumberFormat="1" applyFill="1" applyBorder="1" applyAlignment="1">
      <alignment horizontal="right"/>
    </xf>
    <xf numFmtId="171" fontId="0" fillId="0" borderId="21" xfId="0" applyBorder="1" applyAlignment="1">
      <alignment horizontal="left"/>
    </xf>
    <xf numFmtId="171"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1"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6" fontId="6" fillId="13" borderId="0" xfId="0" applyNumberFormat="1" applyFont="1" applyFill="1" applyBorder="1"/>
    <xf numFmtId="176" fontId="0" fillId="3" borderId="0" xfId="0" applyNumberFormat="1" applyFill="1" applyBorder="1"/>
    <xf numFmtId="175" fontId="6" fillId="13" borderId="0" xfId="0" applyNumberFormat="1" applyFont="1" applyFill="1" applyBorder="1"/>
    <xf numFmtId="4" fontId="0" fillId="2" borderId="0" xfId="0" applyNumberFormat="1" applyFill="1" applyBorder="1"/>
    <xf numFmtId="4" fontId="0" fillId="0" borderId="0" xfId="0" applyNumberFormat="1" applyFill="1" applyBorder="1"/>
    <xf numFmtId="171"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1"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1" fontId="37" fillId="19" borderId="78" xfId="0" applyFont="1" applyFill="1" applyBorder="1" applyAlignment="1" applyProtection="1">
      <alignment horizontal="right" vertical="center"/>
    </xf>
    <xf numFmtId="171" fontId="37" fillId="0" borderId="0" xfId="0" applyFont="1" applyFill="1" applyBorder="1" applyAlignment="1" applyProtection="1">
      <alignment horizontal="right" vertical="center"/>
    </xf>
    <xf numFmtId="171" fontId="37" fillId="0" borderId="47" xfId="0" applyFont="1" applyFill="1" applyBorder="1" applyAlignment="1" applyProtection="1">
      <alignment horizontal="center"/>
    </xf>
    <xf numFmtId="171" fontId="37" fillId="19" borderId="47" xfId="0" applyFont="1" applyFill="1" applyBorder="1" applyAlignment="1" applyProtection="1">
      <alignment horizontal="right" vertical="center"/>
    </xf>
    <xf numFmtId="171"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1"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1" fontId="0" fillId="0" borderId="67" xfId="0" applyFill="1" applyBorder="1" applyProtection="1"/>
    <xf numFmtId="171"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1" fontId="41" fillId="0" borderId="29" xfId="0" applyFont="1" applyFill="1" applyBorder="1" applyAlignment="1" applyProtection="1">
      <alignment horizontal="right" vertical="center"/>
    </xf>
    <xf numFmtId="171" fontId="41" fillId="0" borderId="0" xfId="0" applyFont="1" applyFill="1" applyBorder="1" applyAlignment="1" applyProtection="1">
      <alignment horizontal="right" vertical="center"/>
    </xf>
    <xf numFmtId="171" fontId="6" fillId="0" borderId="0" xfId="0" applyFont="1" applyProtection="1"/>
    <xf numFmtId="173" fontId="0" fillId="0" borderId="0" xfId="0" applyNumberFormat="1" applyAlignment="1" applyProtection="1">
      <alignment horizontal="center"/>
    </xf>
    <xf numFmtId="171" fontId="0" fillId="0" borderId="0" xfId="0" applyFill="1" applyProtection="1"/>
    <xf numFmtId="171" fontId="6" fillId="17" borderId="15" xfId="0" applyFont="1" applyFill="1" applyBorder="1" applyProtection="1"/>
    <xf numFmtId="173" fontId="0" fillId="17" borderId="15" xfId="0" applyNumberFormat="1" applyFill="1" applyBorder="1" applyAlignment="1" applyProtection="1">
      <alignment horizontal="center"/>
    </xf>
    <xf numFmtId="173" fontId="0" fillId="0" borderId="0" xfId="0" applyNumberFormat="1" applyFill="1" applyBorder="1" applyAlignment="1" applyProtection="1">
      <alignment horizontal="center"/>
    </xf>
    <xf numFmtId="171"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1"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1" fontId="37" fillId="0" borderId="0" xfId="0" applyFont="1" applyFill="1" applyBorder="1" applyAlignment="1" applyProtection="1">
      <alignment horizontal="center" vertical="center"/>
    </xf>
    <xf numFmtId="171"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1" fontId="0" fillId="0" borderId="0" xfId="0" applyFill="1" applyBorder="1" applyAlignment="1" applyProtection="1">
      <alignment horizontal="center" wrapText="1"/>
    </xf>
    <xf numFmtId="171" fontId="0" fillId="0" borderId="0" xfId="0" applyFill="1" applyBorder="1" applyAlignment="1" applyProtection="1">
      <alignment horizontal="center"/>
    </xf>
    <xf numFmtId="171" fontId="6" fillId="0" borderId="103" xfId="0" applyFont="1" applyFill="1" applyBorder="1" applyProtection="1"/>
    <xf numFmtId="171" fontId="45" fillId="0" borderId="21" xfId="0" applyFont="1" applyFill="1" applyBorder="1" applyProtection="1"/>
    <xf numFmtId="171" fontId="45" fillId="0" borderId="0" xfId="0" applyFont="1" applyFill="1" applyBorder="1" applyProtection="1"/>
    <xf numFmtId="171" fontId="45" fillId="0" borderId="21" xfId="0" applyFont="1" applyBorder="1" applyProtection="1"/>
    <xf numFmtId="171"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1"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1" fontId="6" fillId="0" borderId="0" xfId="0" applyFont="1" applyBorder="1" applyProtection="1"/>
    <xf numFmtId="171" fontId="6" fillId="0" borderId="0" xfId="0" applyFont="1" applyBorder="1" applyAlignment="1" applyProtection="1">
      <alignment wrapText="1"/>
    </xf>
    <xf numFmtId="171" fontId="6" fillId="0" borderId="103" xfId="0" applyFont="1" applyBorder="1" applyProtection="1"/>
    <xf numFmtId="171" fontId="45" fillId="0" borderId="0" xfId="0" applyFont="1" applyBorder="1" applyProtection="1"/>
    <xf numFmtId="171" fontId="0" fillId="0" borderId="0" xfId="0" applyBorder="1" applyProtection="1"/>
    <xf numFmtId="171" fontId="44" fillId="0" borderId="103" xfId="0" applyFont="1" applyBorder="1" applyProtection="1"/>
    <xf numFmtId="171" fontId="0" fillId="0" borderId="53" xfId="0" applyBorder="1" applyAlignment="1" applyProtection="1">
      <alignment wrapText="1"/>
    </xf>
    <xf numFmtId="171" fontId="0" fillId="0" borderId="102" xfId="0" applyBorder="1" applyAlignment="1" applyProtection="1">
      <alignment wrapText="1"/>
    </xf>
    <xf numFmtId="171" fontId="0" fillId="0" borderId="0" xfId="0" applyBorder="1" applyAlignment="1" applyProtection="1">
      <alignment wrapText="1"/>
    </xf>
    <xf numFmtId="171" fontId="0" fillId="0" borderId="0" xfId="0" applyAlignment="1" applyProtection="1">
      <alignment wrapText="1"/>
    </xf>
    <xf numFmtId="171" fontId="0" fillId="0" borderId="0" xfId="0" applyProtection="1"/>
    <xf numFmtId="171" fontId="6" fillId="0" borderId="21" xfId="0" applyFont="1" applyBorder="1" applyProtection="1"/>
    <xf numFmtId="171" fontId="6" fillId="0" borderId="81" xfId="0" applyFont="1" applyBorder="1" applyAlignment="1" applyProtection="1">
      <alignment wrapText="1"/>
    </xf>
    <xf numFmtId="171" fontId="6" fillId="0" borderId="21" xfId="0" applyFont="1" applyFill="1" applyBorder="1" applyProtection="1"/>
    <xf numFmtId="171" fontId="6" fillId="0" borderId="0" xfId="0" applyFont="1" applyFill="1" applyBorder="1" applyAlignment="1" applyProtection="1">
      <alignment horizontal="center" wrapText="1"/>
    </xf>
    <xf numFmtId="171"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1" fontId="0" fillId="0" borderId="81" xfId="0" applyFill="1" applyBorder="1" applyAlignment="1" applyProtection="1">
      <alignment horizontal="center" wrapText="1"/>
    </xf>
    <xf numFmtId="170" fontId="0" fillId="0" borderId="0" xfId="0" applyNumberFormat="1" applyFill="1" applyAlignment="1" applyProtection="1">
      <alignment horizontal="center" wrapText="1"/>
    </xf>
    <xf numFmtId="171" fontId="6" fillId="0" borderId="0" xfId="0" applyFont="1" applyFill="1" applyBorder="1" applyAlignment="1" applyProtection="1">
      <alignment wrapText="1"/>
    </xf>
    <xf numFmtId="171" fontId="6" fillId="0" borderId="81" xfId="0" applyFont="1" applyFill="1" applyBorder="1" applyAlignment="1" applyProtection="1">
      <alignment wrapText="1"/>
    </xf>
    <xf numFmtId="171" fontId="0" fillId="0" borderId="0" xfId="0" applyFill="1" applyAlignment="1" applyProtection="1">
      <alignment wrapText="1"/>
    </xf>
    <xf numFmtId="171"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1"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1"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1"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5" fontId="16" fillId="0" borderId="0" xfId="5" applyNumberFormat="1" applyFont="1" applyFill="1" applyBorder="1" applyAlignment="1">
      <alignment horizontal="right" wrapText="1"/>
    </xf>
    <xf numFmtId="175" fontId="0" fillId="0" borderId="0" xfId="0" applyNumberFormat="1" applyBorder="1"/>
    <xf numFmtId="175" fontId="0" fillId="0" borderId="81" xfId="0" applyNumberFormat="1" applyBorder="1"/>
    <xf numFmtId="175" fontId="16" fillId="0" borderId="62" xfId="5" applyNumberFormat="1" applyFont="1" applyFill="1" applyBorder="1" applyAlignment="1">
      <alignment horizontal="right" wrapText="1"/>
    </xf>
    <xf numFmtId="175" fontId="0" fillId="0" borderId="62" xfId="0" applyNumberFormat="1" applyBorder="1"/>
    <xf numFmtId="175" fontId="0" fillId="0" borderId="18" xfId="0" applyNumberFormat="1" applyBorder="1"/>
    <xf numFmtId="2" fontId="0" fillId="0" borderId="21" xfId="0" applyNumberFormat="1" applyBorder="1"/>
    <xf numFmtId="2" fontId="0" fillId="0" borderId="104" xfId="0" applyNumberFormat="1" applyBorder="1"/>
    <xf numFmtId="177" fontId="0" fillId="0" borderId="81" xfId="0" applyNumberFormat="1" applyBorder="1"/>
    <xf numFmtId="175" fontId="101" fillId="0" borderId="0" xfId="5" applyNumberFormat="1" applyFont="1" applyFill="1" applyBorder="1" applyAlignment="1">
      <alignment horizontal="right" wrapText="1"/>
    </xf>
    <xf numFmtId="175"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9" fontId="6" fillId="13" borderId="15" xfId="0" applyNumberFormat="1" applyFont="1" applyFill="1" applyBorder="1"/>
    <xf numFmtId="169" fontId="0" fillId="13" borderId="15" xfId="0" applyNumberFormat="1" applyFill="1" applyBorder="1"/>
    <xf numFmtId="171"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1" fontId="71" fillId="0" borderId="0" xfId="148" applyAlignment="1" applyProtection="1">
      <alignment vertical="center"/>
    </xf>
    <xf numFmtId="14" fontId="0" fillId="0" borderId="0" xfId="0" applyNumberFormat="1"/>
    <xf numFmtId="171" fontId="71" fillId="0" borderId="0" xfId="148" quotePrefix="1" applyAlignment="1" applyProtection="1"/>
    <xf numFmtId="171" fontId="6" fillId="0" borderId="0" xfId="0" applyFont="1" applyAlignment="1">
      <alignment horizontal="right"/>
    </xf>
    <xf numFmtId="178"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1" fontId="71" fillId="0" borderId="0" xfId="148" applyAlignment="1" applyProtection="1"/>
    <xf numFmtId="3" fontId="16" fillId="0" borderId="155" xfId="5" applyNumberFormat="1" applyFont="1" applyFill="1" applyBorder="1" applyAlignment="1">
      <alignment wrapText="1"/>
    </xf>
    <xf numFmtId="169" fontId="0" fillId="3" borderId="0" xfId="0" applyNumberFormat="1" applyFill="1" applyBorder="1"/>
    <xf numFmtId="169"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7"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1"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69" fontId="6" fillId="0" borderId="148" xfId="2" applyNumberFormat="1" applyFont="1" applyBorder="1" applyAlignment="1">
      <alignment horizontal="center"/>
    </xf>
    <xf numFmtId="169" fontId="6" fillId="0" borderId="149" xfId="2" applyNumberFormat="1" applyFont="1" applyBorder="1" applyAlignment="1">
      <alignment horizontal="center"/>
    </xf>
    <xf numFmtId="169" fontId="13" fillId="0" borderId="148" xfId="2" applyNumberFormat="1" applyFont="1" applyBorder="1" applyAlignment="1">
      <alignment horizontal="center"/>
    </xf>
    <xf numFmtId="173" fontId="6" fillId="0" borderId="146" xfId="2" applyNumberFormat="1" applyFont="1" applyBorder="1" applyAlignment="1">
      <alignment horizontal="center"/>
    </xf>
    <xf numFmtId="173" fontId="6" fillId="0" borderId="151" xfId="2" applyNumberFormat="1" applyFont="1" applyBorder="1" applyAlignment="1">
      <alignment horizontal="center"/>
    </xf>
    <xf numFmtId="173" fontId="13" fillId="0" borderId="146" xfId="2" applyNumberFormat="1" applyFont="1" applyBorder="1" applyAlignment="1">
      <alignment horizontal="center"/>
    </xf>
    <xf numFmtId="169" fontId="4" fillId="2" borderId="0" xfId="2" applyNumberFormat="1" applyFill="1" applyBorder="1" applyAlignment="1">
      <alignment horizontal="center"/>
    </xf>
    <xf numFmtId="169" fontId="6" fillId="0" borderId="9" xfId="2" applyNumberFormat="1" applyFont="1" applyBorder="1" applyAlignment="1">
      <alignment horizontal="center"/>
    </xf>
    <xf numFmtId="169" fontId="14" fillId="2" borderId="0" xfId="2" applyNumberFormat="1" applyFont="1" applyFill="1" applyBorder="1" applyAlignment="1">
      <alignment horizontal="center"/>
    </xf>
    <xf numFmtId="169" fontId="4" fillId="2" borderId="124" xfId="2" applyNumberFormat="1" applyFill="1" applyBorder="1" applyAlignment="1">
      <alignment horizontal="center"/>
    </xf>
    <xf numFmtId="169" fontId="6" fillId="0" borderId="153" xfId="2" applyNumberFormat="1" applyFont="1" applyBorder="1" applyAlignment="1">
      <alignment horizontal="center"/>
    </xf>
    <xf numFmtId="169" fontId="14" fillId="2" borderId="124" xfId="2" applyNumberFormat="1" applyFont="1" applyFill="1" applyBorder="1" applyAlignment="1">
      <alignment horizontal="center"/>
    </xf>
    <xf numFmtId="169" fontId="6" fillId="0" borderId="146" xfId="2" applyNumberFormat="1" applyFont="1" applyBorder="1" applyAlignment="1">
      <alignment horizontal="center"/>
    </xf>
    <xf numFmtId="169" fontId="6" fillId="0" borderId="151" xfId="2" applyNumberFormat="1" applyFont="1" applyBorder="1" applyAlignment="1">
      <alignment horizontal="center"/>
    </xf>
    <xf numFmtId="169" fontId="13" fillId="0" borderId="146" xfId="2" applyNumberFormat="1" applyFont="1" applyBorder="1" applyAlignment="1">
      <alignment horizontal="center"/>
    </xf>
    <xf numFmtId="169" fontId="0" fillId="2" borderId="0" xfId="2" applyNumberFormat="1" applyFont="1" applyFill="1" applyBorder="1" applyAlignment="1">
      <alignment horizontal="center"/>
    </xf>
    <xf numFmtId="169" fontId="0" fillId="0" borderId="9" xfId="2" applyNumberFormat="1" applyFont="1" applyBorder="1" applyAlignment="1">
      <alignment horizontal="center"/>
    </xf>
    <xf numFmtId="169" fontId="6" fillId="0" borderId="0" xfId="2" applyNumberFormat="1" applyFont="1" applyBorder="1" applyAlignment="1">
      <alignment horizontal="center"/>
    </xf>
    <xf numFmtId="173" fontId="6" fillId="0" borderId="0" xfId="2" applyNumberFormat="1" applyFont="1" applyBorder="1" applyAlignment="1">
      <alignment horizontal="center"/>
    </xf>
    <xf numFmtId="169" fontId="13" fillId="0" borderId="0" xfId="2" applyNumberFormat="1" applyFont="1" applyBorder="1" applyAlignment="1">
      <alignment horizontal="center"/>
    </xf>
    <xf numFmtId="173" fontId="6" fillId="0" borderId="9" xfId="2" applyNumberFormat="1" applyFont="1" applyBorder="1" applyAlignment="1">
      <alignment horizontal="center"/>
    </xf>
    <xf numFmtId="173" fontId="6" fillId="0" borderId="0" xfId="2" applyNumberFormat="1" applyFont="1" applyFill="1" applyBorder="1" applyAlignment="1">
      <alignment horizontal="center"/>
    </xf>
    <xf numFmtId="169" fontId="96" fillId="0" borderId="0" xfId="2" applyNumberFormat="1" applyFont="1" applyBorder="1" applyAlignment="1">
      <alignment horizontal="center"/>
    </xf>
    <xf numFmtId="169" fontId="6" fillId="0" borderId="13" xfId="2" applyNumberFormat="1" applyFont="1" applyBorder="1" applyAlignment="1">
      <alignment horizontal="center"/>
    </xf>
    <xf numFmtId="169" fontId="4" fillId="2" borderId="12" xfId="2" applyNumberFormat="1" applyFill="1" applyBorder="1" applyAlignment="1">
      <alignment horizontal="center"/>
    </xf>
    <xf numFmtId="169" fontId="14" fillId="2" borderId="12" xfId="2" applyNumberFormat="1" applyFont="1" applyFill="1" applyBorder="1" applyAlignment="1">
      <alignment horizontal="center"/>
    </xf>
    <xf numFmtId="177" fontId="0" fillId="0" borderId="12" xfId="0" applyNumberFormat="1" applyBorder="1"/>
    <xf numFmtId="1" fontId="0" fillId="0" borderId="124" xfId="0" applyNumberFormat="1" applyFont="1" applyFill="1" applyBorder="1" applyAlignment="1">
      <alignment horizontal="center" vertical="center"/>
    </xf>
    <xf numFmtId="175" fontId="0" fillId="0" borderId="0" xfId="0" applyNumberFormat="1"/>
    <xf numFmtId="172"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1" fontId="22" fillId="0" borderId="0" xfId="0" applyFont="1" applyFill="1" applyBorder="1" applyAlignment="1">
      <alignment horizontal="left" vertical="top" wrapText="1"/>
    </xf>
    <xf numFmtId="171" fontId="5" fillId="0" borderId="0" xfId="0" applyFont="1" applyFill="1" applyBorder="1" applyAlignment="1">
      <alignment horizontal="left" vertical="top" wrapText="1"/>
    </xf>
    <xf numFmtId="171" fontId="22" fillId="0" borderId="124" xfId="0" applyFont="1" applyFill="1" applyBorder="1"/>
    <xf numFmtId="171" fontId="44" fillId="23" borderId="196" xfId="1" applyFont="1" applyFill="1" applyBorder="1"/>
    <xf numFmtId="171" fontId="44" fillId="23" borderId="197" xfId="1" applyFont="1" applyFill="1" applyBorder="1"/>
    <xf numFmtId="171" fontId="22" fillId="23" borderId="197" xfId="0" applyFont="1" applyFill="1" applyBorder="1"/>
    <xf numFmtId="171" fontId="22" fillId="23" borderId="198" xfId="0" applyFont="1" applyFill="1" applyBorder="1"/>
    <xf numFmtId="171" fontId="0" fillId="0" borderId="124" xfId="0" applyFont="1" applyFill="1" applyBorder="1" applyAlignment="1">
      <alignment horizontal="right"/>
    </xf>
    <xf numFmtId="171"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1" fontId="85" fillId="0" borderId="104" xfId="0" applyFont="1" applyBorder="1"/>
    <xf numFmtId="3" fontId="6" fillId="13" borderId="194" xfId="0" applyNumberFormat="1" applyFont="1" applyFill="1" applyBorder="1" applyAlignment="1">
      <alignment horizontal="center"/>
    </xf>
    <xf numFmtId="176" fontId="0" fillId="0" borderId="0" xfId="0" applyNumberFormat="1" applyBorder="1" applyAlignment="1">
      <alignment horizontal="left"/>
    </xf>
    <xf numFmtId="171" fontId="22" fillId="0" borderId="0" xfId="0" applyFont="1" applyBorder="1" applyAlignment="1">
      <alignment horizontal="left"/>
    </xf>
    <xf numFmtId="171"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4"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1" fontId="52" fillId="12" borderId="19" xfId="0" applyFont="1" applyFill="1" applyBorder="1" applyAlignment="1">
      <alignment horizontal="left" vertical="center" wrapText="1"/>
    </xf>
    <xf numFmtId="171"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1" fontId="36" fillId="12" borderId="90" xfId="0" applyFont="1" applyFill="1" applyBorder="1" applyAlignment="1">
      <alignment horizontal="center" vertical="center" wrapText="1"/>
    </xf>
    <xf numFmtId="171" fontId="36" fillId="12" borderId="92" xfId="0" applyFont="1" applyFill="1" applyBorder="1" applyAlignment="1">
      <alignment horizontal="center" vertical="center" wrapText="1"/>
    </xf>
    <xf numFmtId="171" fontId="36" fillId="12" borderId="94" xfId="0" applyFont="1" applyFill="1" applyBorder="1" applyAlignment="1">
      <alignment horizontal="center" vertical="center" wrapText="1"/>
    </xf>
    <xf numFmtId="171" fontId="36" fillId="12" borderId="91" xfId="0" applyFont="1" applyFill="1" applyBorder="1" applyAlignment="1">
      <alignment horizontal="center" vertical="center" wrapText="1"/>
    </xf>
    <xf numFmtId="171" fontId="36" fillId="12" borderId="93" xfId="0" applyFont="1" applyFill="1" applyBorder="1" applyAlignment="1">
      <alignment horizontal="center" vertical="center" wrapText="1"/>
    </xf>
    <xf numFmtId="171" fontId="36" fillId="12" borderId="17" xfId="0" applyFont="1" applyFill="1" applyBorder="1" applyAlignment="1">
      <alignment horizontal="center" vertical="center" wrapText="1"/>
    </xf>
    <xf numFmtId="171" fontId="36" fillId="12" borderId="15" xfId="0" applyFont="1" applyFill="1" applyBorder="1" applyAlignment="1">
      <alignment horizontal="center" vertical="center" wrapText="1"/>
    </xf>
    <xf numFmtId="171" fontId="36" fillId="12" borderId="25" xfId="0" applyFont="1" applyFill="1" applyBorder="1" applyAlignment="1">
      <alignment horizontal="center" vertical="top" wrapText="1"/>
    </xf>
    <xf numFmtId="171" fontId="36" fillId="12" borderId="26" xfId="0" applyFont="1" applyFill="1" applyBorder="1" applyAlignment="1">
      <alignment horizontal="center" vertical="top" wrapText="1"/>
    </xf>
    <xf numFmtId="171" fontId="37" fillId="12" borderId="6" xfId="0" applyFont="1" applyFill="1" applyBorder="1" applyAlignment="1">
      <alignment horizontal="center" vertical="center" wrapText="1"/>
    </xf>
    <xf numFmtId="171" fontId="37" fillId="12" borderId="13" xfId="0" applyFont="1" applyFill="1" applyBorder="1" applyAlignment="1">
      <alignment horizontal="center" vertical="center" wrapText="1"/>
    </xf>
    <xf numFmtId="171" fontId="37" fillId="12" borderId="27" xfId="0" applyFont="1" applyFill="1" applyBorder="1" applyAlignment="1">
      <alignment horizontal="center" vertical="center" wrapText="1"/>
    </xf>
    <xf numFmtId="171" fontId="37" fillId="12" borderId="14" xfId="0" applyFont="1" applyFill="1" applyBorder="1" applyAlignment="1">
      <alignment horizontal="center" vertical="center" wrapText="1"/>
    </xf>
    <xf numFmtId="171" fontId="37" fillId="12" borderId="28" xfId="0" applyFont="1" applyFill="1" applyBorder="1" applyAlignment="1">
      <alignment horizontal="center" vertical="center" wrapText="1"/>
    </xf>
    <xf numFmtId="171" fontId="41" fillId="0" borderId="67" xfId="0" applyFont="1" applyBorder="1" applyAlignment="1" applyProtection="1">
      <alignment horizontal="right" vertical="center"/>
    </xf>
    <xf numFmtId="171" fontId="41" fillId="0" borderId="0" xfId="0" applyFont="1" applyBorder="1" applyAlignment="1" applyProtection="1">
      <alignment horizontal="right" vertical="center"/>
    </xf>
    <xf numFmtId="171" fontId="41" fillId="0" borderId="0" xfId="0" applyFont="1" applyFill="1" applyBorder="1" applyAlignment="1" applyProtection="1">
      <alignment horizontal="right" vertical="center"/>
    </xf>
    <xf numFmtId="171" fontId="37" fillId="19" borderId="11" xfId="0" applyFont="1" applyFill="1" applyBorder="1" applyAlignment="1" applyProtection="1">
      <alignment horizontal="center" vertical="center"/>
    </xf>
    <xf numFmtId="171" fontId="37" fillId="19" borderId="89" xfId="0" applyFont="1" applyFill="1" applyBorder="1" applyAlignment="1" applyProtection="1">
      <alignment horizontal="center" vertical="center"/>
    </xf>
    <xf numFmtId="171" fontId="37" fillId="0" borderId="0" xfId="0" applyFont="1" applyFill="1" applyBorder="1" applyAlignment="1" applyProtection="1">
      <alignment horizontal="center" vertical="center"/>
    </xf>
    <xf numFmtId="171" fontId="37" fillId="19" borderId="28" xfId="0" applyFont="1" applyFill="1" applyBorder="1" applyAlignment="1" applyProtection="1">
      <alignment horizontal="right" vertical="center"/>
    </xf>
    <xf numFmtId="171" fontId="37" fillId="19" borderId="55" xfId="0" applyFont="1" applyFill="1" applyBorder="1" applyAlignment="1" applyProtection="1">
      <alignment horizontal="right" vertical="center"/>
    </xf>
    <xf numFmtId="171" fontId="37" fillId="0" borderId="0" xfId="0" applyFont="1" applyFill="1" applyBorder="1" applyAlignment="1" applyProtection="1">
      <alignment horizontal="right" vertical="center"/>
    </xf>
    <xf numFmtId="171" fontId="37" fillId="19" borderId="101" xfId="0" applyFont="1" applyFill="1" applyBorder="1" applyAlignment="1" applyProtection="1">
      <alignment horizontal="right" vertical="center"/>
    </xf>
    <xf numFmtId="171" fontId="37" fillId="19" borderId="40" xfId="0" applyFont="1" applyFill="1" applyBorder="1" applyAlignment="1" applyProtection="1">
      <alignment horizontal="right" vertical="center"/>
    </xf>
    <xf numFmtId="171"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1" fontId="37" fillId="19" borderId="158" xfId="0" applyFont="1" applyFill="1" applyBorder="1" applyAlignment="1" applyProtection="1">
      <alignment horizontal="center" vertical="center"/>
    </xf>
    <xf numFmtId="171" fontId="37" fillId="19" borderId="44" xfId="0" applyFont="1" applyFill="1" applyBorder="1" applyAlignment="1" applyProtection="1">
      <alignment horizontal="center" vertical="center"/>
    </xf>
    <xf numFmtId="171" fontId="37" fillId="19" borderId="82" xfId="0" applyFont="1" applyFill="1" applyBorder="1" applyAlignment="1" applyProtection="1">
      <alignment horizontal="center" vertical="center"/>
    </xf>
    <xf numFmtId="171" fontId="37" fillId="19" borderId="46" xfId="0" applyFont="1" applyFill="1" applyBorder="1" applyAlignment="1" applyProtection="1">
      <alignment horizontal="center" vertical="center"/>
    </xf>
    <xf numFmtId="171" fontId="37" fillId="19" borderId="98" xfId="0" applyFont="1" applyFill="1" applyBorder="1" applyAlignment="1" applyProtection="1">
      <alignment horizontal="center" vertical="center"/>
    </xf>
    <xf numFmtId="171" fontId="37" fillId="19" borderId="97"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64"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77" xfId="0" applyNumberFormat="1" applyFont="1" applyFill="1" applyBorder="1" applyAlignment="1" applyProtection="1">
      <alignment horizontal="center" vertical="center" wrapText="1"/>
    </xf>
    <xf numFmtId="171" fontId="30" fillId="12" borderId="48" xfId="0" applyFont="1" applyFill="1" applyBorder="1" applyAlignment="1" applyProtection="1">
      <alignment horizontal="center" vertical="center" wrapText="1"/>
    </xf>
    <xf numFmtId="171" fontId="30" fillId="12" borderId="62" xfId="0" applyFont="1" applyFill="1" applyBorder="1" applyAlignment="1" applyProtection="1">
      <alignment horizontal="center" vertical="center" wrapText="1"/>
    </xf>
    <xf numFmtId="171"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71034</v>
      </c>
      <c r="B6" s="396"/>
      <c r="C6" s="397"/>
    </row>
    <row r="7" spans="1:7" s="394" customFormat="1" ht="15.75" customHeight="1">
      <c r="A7" s="398" t="str">
        <f>txtMunicipality</f>
        <v>LEOPOLDSBURG</v>
      </c>
      <c r="B7" s="396"/>
      <c r="C7" s="397"/>
    </row>
    <row r="8" spans="1:7" ht="15.75" thickBot="1">
      <c r="A8" s="45"/>
      <c r="B8" s="108"/>
      <c r="C8" s="109"/>
    </row>
    <row r="9" spans="1:7" s="387" customFormat="1" ht="15.75" thickBot="1">
      <c r="A9" s="411" t="s">
        <v>358</v>
      </c>
      <c r="B9" s="414"/>
      <c r="C9" s="415"/>
    </row>
    <row r="10" spans="1:7" s="15" customFormat="1" ht="57.75" customHeight="1" thickBot="1">
      <c r="A10" s="1013" t="s">
        <v>724</v>
      </c>
      <c r="B10" s="1014"/>
      <c r="C10" s="1015"/>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16" t="s">
        <v>533</v>
      </c>
      <c r="C16" s="1017"/>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abSelected="1" topLeftCell="A34" zoomScaleNormal="100" workbookViewId="0">
      <selection activeCell="C58" sqref="C58"/>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71034</v>
      </c>
      <c r="B1" s="987"/>
      <c r="C1" s="987"/>
      <c r="D1" s="987"/>
      <c r="E1" s="987"/>
      <c r="F1" s="988"/>
    </row>
    <row r="3" spans="1:6" ht="19.5">
      <c r="A3" s="989" t="s">
        <v>0</v>
      </c>
    </row>
    <row r="4" spans="1:6" ht="22.5">
      <c r="A4" s="990" t="s">
        <v>885</v>
      </c>
    </row>
    <row r="5" spans="1:6" ht="22.5">
      <c r="A5" s="990" t="s">
        <v>886</v>
      </c>
    </row>
    <row r="6" spans="1:6" ht="15.75" thickBot="1"/>
    <row r="7" spans="1:6" ht="20.25" thickBot="1">
      <c r="A7" s="991" t="s">
        <v>1</v>
      </c>
      <c r="B7" s="334" t="s">
        <v>397</v>
      </c>
      <c r="C7" s="334" t="s">
        <v>887</v>
      </c>
      <c r="D7" s="334"/>
      <c r="E7" s="334"/>
      <c r="F7" s="335"/>
    </row>
    <row r="8" spans="1:6" ht="16.5" thickTop="1" thickBot="1">
      <c r="A8" s="992" t="s">
        <v>4</v>
      </c>
      <c r="B8" s="993">
        <v>2011</v>
      </c>
      <c r="C8" s="993">
        <v>2020</v>
      </c>
      <c r="D8" s="987"/>
      <c r="E8" s="987"/>
      <c r="F8" s="988"/>
    </row>
    <row r="9" spans="1:6">
      <c r="A9" s="994" t="s">
        <v>2</v>
      </c>
      <c r="B9" s="336">
        <v>6292</v>
      </c>
      <c r="C9" s="336">
        <v>6693</v>
      </c>
      <c r="D9" s="336"/>
      <c r="E9" s="336"/>
      <c r="F9" s="336"/>
    </row>
    <row r="10" spans="1:6">
      <c r="A10" s="337"/>
    </row>
    <row r="11" spans="1:6" ht="15.75" thickBot="1">
      <c r="A11" s="337"/>
    </row>
    <row r="12" spans="1:6" ht="20.25" thickBot="1">
      <c r="A12" s="991" t="s">
        <v>3</v>
      </c>
      <c r="B12" s="334" t="s">
        <v>397</v>
      </c>
      <c r="C12" s="334" t="s">
        <v>636</v>
      </c>
      <c r="D12" s="334"/>
      <c r="E12" s="334"/>
      <c r="F12" s="338"/>
    </row>
    <row r="13" spans="1:6" ht="16.5" thickTop="1" thickBot="1">
      <c r="A13" s="995" t="s">
        <v>4</v>
      </c>
      <c r="B13" s="996" t="s">
        <v>5</v>
      </c>
      <c r="C13" s="996"/>
      <c r="D13" s="996"/>
      <c r="E13" s="996"/>
      <c r="F13" s="997"/>
    </row>
    <row r="14" spans="1:6">
      <c r="A14" s="998" t="s">
        <v>794</v>
      </c>
      <c r="B14" s="333">
        <v>398</v>
      </c>
    </row>
    <row r="15" spans="1:6">
      <c r="A15" s="998" t="s">
        <v>185</v>
      </c>
      <c r="B15" s="333">
        <v>143</v>
      </c>
    </row>
    <row r="16" spans="1:6">
      <c r="A16" s="998" t="s">
        <v>6</v>
      </c>
      <c r="B16" s="333">
        <v>35</v>
      </c>
    </row>
    <row r="17" spans="1:6">
      <c r="A17" s="998" t="s">
        <v>7</v>
      </c>
      <c r="B17" s="333">
        <v>11</v>
      </c>
    </row>
    <row r="18" spans="1:6">
      <c r="A18" s="998" t="s">
        <v>8</v>
      </c>
      <c r="B18" s="333">
        <v>47</v>
      </c>
    </row>
    <row r="19" spans="1:6">
      <c r="A19" s="998" t="s">
        <v>9</v>
      </c>
      <c r="B19" s="333">
        <v>34</v>
      </c>
    </row>
    <row r="20" spans="1:6">
      <c r="A20" s="998" t="s">
        <v>10</v>
      </c>
      <c r="B20" s="333">
        <v>34</v>
      </c>
    </row>
    <row r="21" spans="1:6">
      <c r="A21" s="998" t="s">
        <v>11</v>
      </c>
      <c r="B21" s="333">
        <v>0</v>
      </c>
    </row>
    <row r="22" spans="1:6">
      <c r="A22" s="998" t="s">
        <v>12</v>
      </c>
      <c r="B22" s="333">
        <v>188</v>
      </c>
    </row>
    <row r="23" spans="1:6">
      <c r="A23" s="998" t="s">
        <v>13</v>
      </c>
      <c r="B23" s="333">
        <v>0</v>
      </c>
    </row>
    <row r="24" spans="1:6">
      <c r="A24" s="998" t="s">
        <v>14</v>
      </c>
      <c r="B24" s="333">
        <v>0</v>
      </c>
    </row>
    <row r="25" spans="1:6">
      <c r="A25" s="998" t="s">
        <v>15</v>
      </c>
      <c r="B25" s="333">
        <v>0</v>
      </c>
    </row>
    <row r="26" spans="1:6">
      <c r="A26" s="998" t="s">
        <v>16</v>
      </c>
      <c r="B26" s="333">
        <v>0</v>
      </c>
    </row>
    <row r="27" spans="1:6">
      <c r="A27" s="998" t="s">
        <v>17</v>
      </c>
      <c r="B27" s="333">
        <v>0</v>
      </c>
    </row>
    <row r="28" spans="1:6">
      <c r="A28" s="998" t="s">
        <v>18</v>
      </c>
      <c r="B28" s="333">
        <v>0</v>
      </c>
    </row>
    <row r="29" spans="1:6">
      <c r="A29" s="998" t="s">
        <v>888</v>
      </c>
      <c r="B29" s="333">
        <v>58</v>
      </c>
    </row>
    <row r="30" spans="1:6">
      <c r="A30" s="994" t="s">
        <v>889</v>
      </c>
      <c r="B30" s="994">
        <v>2</v>
      </c>
      <c r="C30" s="336"/>
      <c r="D30" s="336"/>
      <c r="E30" s="336"/>
      <c r="F30" s="336"/>
    </row>
    <row r="31" spans="1:6" ht="15.75" thickBot="1">
      <c r="A31" s="337"/>
    </row>
    <row r="32" spans="1:6" ht="20.25" thickBot="1">
      <c r="A32" s="991" t="s">
        <v>19</v>
      </c>
      <c r="B32" s="334" t="s">
        <v>397</v>
      </c>
      <c r="C32" s="334" t="s">
        <v>890</v>
      </c>
      <c r="D32" s="334"/>
      <c r="E32" s="334"/>
      <c r="F32" s="338"/>
    </row>
    <row r="33" spans="1:6" ht="16.5" thickTop="1" thickBot="1">
      <c r="A33" s="999"/>
      <c r="B33" s="1000"/>
      <c r="C33" s="1000" t="s">
        <v>20</v>
      </c>
      <c r="D33" s="1000"/>
      <c r="E33" s="1000" t="s">
        <v>21</v>
      </c>
      <c r="F33" s="1001"/>
    </row>
    <row r="34" spans="1:6" ht="16.5" thickTop="1" thickBot="1">
      <c r="A34" s="1002" t="s">
        <v>22</v>
      </c>
      <c r="B34" s="1003" t="s">
        <v>23</v>
      </c>
      <c r="C34" s="1003" t="s">
        <v>5</v>
      </c>
      <c r="D34" s="1003" t="s">
        <v>24</v>
      </c>
      <c r="E34" s="1003" t="s">
        <v>5</v>
      </c>
      <c r="F34" s="1004" t="s">
        <v>24</v>
      </c>
    </row>
    <row r="35" spans="1:6">
      <c r="A35" s="998" t="s">
        <v>25</v>
      </c>
      <c r="B35" s="998" t="s">
        <v>26</v>
      </c>
      <c r="C35" s="333">
        <v>0</v>
      </c>
      <c r="D35" s="333">
        <v>0</v>
      </c>
      <c r="E35" s="333">
        <v>0</v>
      </c>
      <c r="F35" s="333">
        <v>0</v>
      </c>
    </row>
    <row r="36" spans="1:6">
      <c r="A36" s="998" t="s">
        <v>25</v>
      </c>
      <c r="B36" s="998" t="s">
        <v>27</v>
      </c>
      <c r="C36" s="333">
        <v>0</v>
      </c>
      <c r="D36" s="333">
        <v>0</v>
      </c>
      <c r="E36" s="333">
        <v>6</v>
      </c>
      <c r="F36" s="333">
        <v>26291</v>
      </c>
    </row>
    <row r="37" spans="1:6">
      <c r="A37" s="998" t="s">
        <v>25</v>
      </c>
      <c r="B37" s="998" t="s">
        <v>28</v>
      </c>
      <c r="C37" s="333">
        <v>0</v>
      </c>
      <c r="D37" s="333">
        <v>0</v>
      </c>
      <c r="E37" s="333">
        <v>0</v>
      </c>
      <c r="F37" s="333">
        <v>0</v>
      </c>
    </row>
    <row r="38" spans="1:6">
      <c r="A38" s="998" t="s">
        <v>25</v>
      </c>
      <c r="B38" s="998" t="s">
        <v>29</v>
      </c>
      <c r="C38" s="333">
        <v>0</v>
      </c>
      <c r="D38" s="333">
        <v>0</v>
      </c>
      <c r="E38" s="333">
        <v>0</v>
      </c>
      <c r="F38" s="333">
        <v>0</v>
      </c>
    </row>
    <row r="39" spans="1:6">
      <c r="A39" s="998" t="s">
        <v>30</v>
      </c>
      <c r="B39" s="998" t="s">
        <v>31</v>
      </c>
      <c r="C39" s="333">
        <v>2986</v>
      </c>
      <c r="D39" s="333">
        <v>50029336</v>
      </c>
      <c r="E39" s="333">
        <v>6363</v>
      </c>
      <c r="F39" s="333">
        <v>28075657</v>
      </c>
    </row>
    <row r="40" spans="1:6">
      <c r="A40" s="998" t="s">
        <v>30</v>
      </c>
      <c r="B40" s="998" t="s">
        <v>29</v>
      </c>
      <c r="C40" s="333">
        <v>0</v>
      </c>
      <c r="D40" s="333">
        <v>0</v>
      </c>
      <c r="E40" s="333">
        <v>0</v>
      </c>
      <c r="F40" s="333">
        <v>0</v>
      </c>
    </row>
    <row r="41" spans="1:6">
      <c r="A41" s="998" t="s">
        <v>32</v>
      </c>
      <c r="B41" s="998" t="s">
        <v>33</v>
      </c>
      <c r="C41" s="333">
        <v>19</v>
      </c>
      <c r="D41" s="333">
        <v>558934</v>
      </c>
      <c r="E41" s="333">
        <v>62</v>
      </c>
      <c r="F41" s="333">
        <v>726516</v>
      </c>
    </row>
    <row r="42" spans="1:6">
      <c r="A42" s="998" t="s">
        <v>32</v>
      </c>
      <c r="B42" s="998" t="s">
        <v>34</v>
      </c>
      <c r="C42" s="333">
        <v>0</v>
      </c>
      <c r="D42" s="333">
        <v>0</v>
      </c>
      <c r="E42" s="333">
        <v>0</v>
      </c>
      <c r="F42" s="333">
        <v>0</v>
      </c>
    </row>
    <row r="43" spans="1:6">
      <c r="A43" s="998" t="s">
        <v>32</v>
      </c>
      <c r="B43" s="998" t="s">
        <v>35</v>
      </c>
      <c r="C43" s="333">
        <v>0</v>
      </c>
      <c r="D43" s="333">
        <v>0</v>
      </c>
      <c r="E43" s="333">
        <v>0</v>
      </c>
      <c r="F43" s="333">
        <v>0</v>
      </c>
    </row>
    <row r="44" spans="1:6">
      <c r="A44" s="998" t="s">
        <v>32</v>
      </c>
      <c r="B44" s="998" t="s">
        <v>36</v>
      </c>
      <c r="C44" s="333">
        <v>5</v>
      </c>
      <c r="D44" s="333">
        <v>183487</v>
      </c>
      <c r="E44" s="333">
        <v>6</v>
      </c>
      <c r="F44" s="333">
        <v>52116</v>
      </c>
    </row>
    <row r="45" spans="1:6">
      <c r="A45" s="998" t="s">
        <v>32</v>
      </c>
      <c r="B45" s="998" t="s">
        <v>37</v>
      </c>
      <c r="C45" s="333">
        <v>0</v>
      </c>
      <c r="D45" s="333">
        <v>0</v>
      </c>
      <c r="E45" s="333">
        <v>3</v>
      </c>
      <c r="F45" s="333">
        <v>562060</v>
      </c>
    </row>
    <row r="46" spans="1:6">
      <c r="A46" s="998" t="s">
        <v>32</v>
      </c>
      <c r="B46" s="998" t="s">
        <v>38</v>
      </c>
      <c r="C46" s="333">
        <v>0</v>
      </c>
      <c r="D46" s="333">
        <v>0</v>
      </c>
      <c r="E46" s="333">
        <v>0</v>
      </c>
      <c r="F46" s="333">
        <v>0</v>
      </c>
    </row>
    <row r="47" spans="1:6">
      <c r="A47" s="998" t="s">
        <v>32</v>
      </c>
      <c r="B47" s="998" t="s">
        <v>39</v>
      </c>
      <c r="C47" s="333">
        <v>0</v>
      </c>
      <c r="D47" s="333">
        <v>0</v>
      </c>
      <c r="E47" s="333">
        <v>0</v>
      </c>
      <c r="F47" s="333">
        <v>0</v>
      </c>
    </row>
    <row r="48" spans="1:6">
      <c r="A48" s="998" t="s">
        <v>32</v>
      </c>
      <c r="B48" s="998" t="s">
        <v>29</v>
      </c>
      <c r="C48" s="333">
        <v>2</v>
      </c>
      <c r="D48" s="333">
        <v>123767</v>
      </c>
      <c r="E48" s="333">
        <v>3</v>
      </c>
      <c r="F48" s="333">
        <v>46557</v>
      </c>
    </row>
    <row r="49" spans="1:6">
      <c r="A49" s="998" t="s">
        <v>32</v>
      </c>
      <c r="B49" s="998" t="s">
        <v>40</v>
      </c>
      <c r="C49" s="333">
        <v>0</v>
      </c>
      <c r="D49" s="333">
        <v>0</v>
      </c>
      <c r="E49" s="333">
        <v>0</v>
      </c>
      <c r="F49" s="333">
        <v>0</v>
      </c>
    </row>
    <row r="50" spans="1:6">
      <c r="A50" s="998" t="s">
        <v>32</v>
      </c>
      <c r="B50" s="998" t="s">
        <v>41</v>
      </c>
      <c r="C50" s="333">
        <v>6</v>
      </c>
      <c r="D50" s="333">
        <v>410845</v>
      </c>
      <c r="E50" s="333">
        <v>13</v>
      </c>
      <c r="F50" s="333">
        <v>607408</v>
      </c>
    </row>
    <row r="51" spans="1:6">
      <c r="A51" s="998" t="s">
        <v>42</v>
      </c>
      <c r="B51" s="998" t="s">
        <v>43</v>
      </c>
      <c r="C51" s="333">
        <v>0</v>
      </c>
      <c r="D51" s="333">
        <v>0</v>
      </c>
      <c r="E51" s="333">
        <v>8</v>
      </c>
      <c r="F51" s="333">
        <v>139305</v>
      </c>
    </row>
    <row r="52" spans="1:6">
      <c r="A52" s="998" t="s">
        <v>42</v>
      </c>
      <c r="B52" s="998" t="s">
        <v>29</v>
      </c>
      <c r="C52" s="333">
        <v>0</v>
      </c>
      <c r="D52" s="333">
        <v>0</v>
      </c>
      <c r="E52" s="333">
        <v>0</v>
      </c>
      <c r="F52" s="333">
        <v>0</v>
      </c>
    </row>
    <row r="53" spans="1:6">
      <c r="A53" s="998" t="s">
        <v>44</v>
      </c>
      <c r="B53" s="998" t="s">
        <v>45</v>
      </c>
      <c r="C53" s="333">
        <v>0</v>
      </c>
      <c r="D53" s="333">
        <v>0</v>
      </c>
      <c r="E53" s="333">
        <v>0</v>
      </c>
      <c r="F53" s="333">
        <v>0</v>
      </c>
    </row>
    <row r="54" spans="1:6">
      <c r="A54" s="998" t="s">
        <v>46</v>
      </c>
      <c r="B54" s="998" t="s">
        <v>47</v>
      </c>
      <c r="C54" s="333">
        <v>0</v>
      </c>
      <c r="D54" s="333">
        <v>0</v>
      </c>
      <c r="E54" s="333">
        <v>69</v>
      </c>
      <c r="F54" s="333">
        <v>816557</v>
      </c>
    </row>
    <row r="55" spans="1:6">
      <c r="A55" s="998" t="s">
        <v>46</v>
      </c>
      <c r="B55" s="998" t="s">
        <v>29</v>
      </c>
      <c r="C55" s="333">
        <v>0</v>
      </c>
      <c r="D55" s="333">
        <v>0</v>
      </c>
      <c r="E55" s="333">
        <v>0</v>
      </c>
      <c r="F55" s="333">
        <v>0</v>
      </c>
    </row>
    <row r="56" spans="1:6">
      <c r="A56" s="998" t="s">
        <v>48</v>
      </c>
      <c r="B56" s="998" t="s">
        <v>29</v>
      </c>
      <c r="C56" s="333">
        <v>40</v>
      </c>
      <c r="D56" s="333">
        <v>30488936</v>
      </c>
      <c r="E56" s="333">
        <v>139</v>
      </c>
      <c r="F56" s="333">
        <v>8074245</v>
      </c>
    </row>
    <row r="57" spans="1:6">
      <c r="A57" s="998" t="s">
        <v>49</v>
      </c>
      <c r="B57" s="998" t="s">
        <v>50</v>
      </c>
      <c r="C57" s="333">
        <v>30</v>
      </c>
      <c r="D57" s="333">
        <v>1176399</v>
      </c>
      <c r="E57" s="333">
        <v>68</v>
      </c>
      <c r="F57" s="333">
        <v>971684</v>
      </c>
    </row>
    <row r="58" spans="1:6">
      <c r="A58" s="998" t="s">
        <v>49</v>
      </c>
      <c r="B58" s="998" t="s">
        <v>51</v>
      </c>
      <c r="C58" s="333">
        <v>17</v>
      </c>
      <c r="D58" s="333">
        <v>2022196</v>
      </c>
      <c r="E58" s="333">
        <v>26</v>
      </c>
      <c r="F58" s="333">
        <v>740964</v>
      </c>
    </row>
    <row r="59" spans="1:6">
      <c r="A59" s="998" t="s">
        <v>49</v>
      </c>
      <c r="B59" s="998" t="s">
        <v>52</v>
      </c>
      <c r="C59" s="333">
        <v>56</v>
      </c>
      <c r="D59" s="333">
        <v>2278236</v>
      </c>
      <c r="E59" s="333">
        <v>171</v>
      </c>
      <c r="F59" s="333">
        <v>5029661</v>
      </c>
    </row>
    <row r="60" spans="1:6">
      <c r="A60" s="998" t="s">
        <v>49</v>
      </c>
      <c r="B60" s="998" t="s">
        <v>53</v>
      </c>
      <c r="C60" s="333">
        <v>32</v>
      </c>
      <c r="D60" s="333">
        <v>1484971</v>
      </c>
      <c r="E60" s="333">
        <v>51</v>
      </c>
      <c r="F60" s="333">
        <v>1348178</v>
      </c>
    </row>
    <row r="61" spans="1:6">
      <c r="A61" s="998" t="s">
        <v>49</v>
      </c>
      <c r="B61" s="998" t="s">
        <v>54</v>
      </c>
      <c r="C61" s="333">
        <v>66</v>
      </c>
      <c r="D61" s="333">
        <v>36087257</v>
      </c>
      <c r="E61" s="333">
        <v>197</v>
      </c>
      <c r="F61" s="333">
        <v>2931426</v>
      </c>
    </row>
    <row r="62" spans="1:6">
      <c r="A62" s="998" t="s">
        <v>49</v>
      </c>
      <c r="B62" s="998" t="s">
        <v>55</v>
      </c>
      <c r="C62" s="333">
        <v>0</v>
      </c>
      <c r="D62" s="333">
        <v>0</v>
      </c>
      <c r="E62" s="333">
        <v>8</v>
      </c>
      <c r="F62" s="333">
        <v>295463</v>
      </c>
    </row>
    <row r="63" spans="1:6">
      <c r="A63" s="998" t="s">
        <v>49</v>
      </c>
      <c r="B63" s="998" t="s">
        <v>29</v>
      </c>
      <c r="C63" s="333">
        <v>1</v>
      </c>
      <c r="D63" s="333">
        <v>13262</v>
      </c>
      <c r="E63" s="333">
        <v>0</v>
      </c>
      <c r="F63" s="333">
        <v>0</v>
      </c>
    </row>
    <row r="64" spans="1:6">
      <c r="A64" s="998" t="s">
        <v>56</v>
      </c>
      <c r="B64" s="998" t="s">
        <v>57</v>
      </c>
      <c r="C64" s="333">
        <v>0</v>
      </c>
      <c r="D64" s="333">
        <v>0</v>
      </c>
      <c r="E64" s="333">
        <v>0</v>
      </c>
      <c r="F64" s="333">
        <v>0</v>
      </c>
    </row>
    <row r="65" spans="1:6">
      <c r="A65" s="998" t="s">
        <v>56</v>
      </c>
      <c r="B65" s="998" t="s">
        <v>29</v>
      </c>
      <c r="C65" s="333">
        <v>2</v>
      </c>
      <c r="D65" s="333">
        <v>29185</v>
      </c>
      <c r="E65" s="333">
        <v>2</v>
      </c>
      <c r="F65" s="333">
        <v>5532</v>
      </c>
    </row>
    <row r="66" spans="1:6">
      <c r="A66" s="998" t="s">
        <v>56</v>
      </c>
      <c r="B66" s="998" t="s">
        <v>58</v>
      </c>
      <c r="C66" s="333">
        <v>0</v>
      </c>
      <c r="D66" s="333">
        <v>0</v>
      </c>
      <c r="E66" s="333">
        <v>0</v>
      </c>
      <c r="F66" s="333">
        <v>0</v>
      </c>
    </row>
    <row r="67" spans="1:6">
      <c r="A67" s="1005" t="s">
        <v>56</v>
      </c>
      <c r="B67" s="1005" t="s">
        <v>59</v>
      </c>
      <c r="C67" s="333">
        <v>0</v>
      </c>
      <c r="D67" s="333">
        <v>0</v>
      </c>
      <c r="E67" s="333">
        <v>0</v>
      </c>
      <c r="F67" s="333">
        <v>0</v>
      </c>
    </row>
    <row r="68" spans="1:6">
      <c r="A68" s="994" t="s">
        <v>56</v>
      </c>
      <c r="B68" s="994" t="s">
        <v>60</v>
      </c>
      <c r="C68" s="333">
        <v>0</v>
      </c>
      <c r="D68" s="333">
        <v>0</v>
      </c>
      <c r="E68" s="333">
        <v>0</v>
      </c>
      <c r="F68" s="333">
        <v>0</v>
      </c>
    </row>
    <row r="69" spans="1:6" ht="15.75" thickBot="1">
      <c r="A69" s="337"/>
    </row>
    <row r="70" spans="1:6" ht="19.5">
      <c r="A70" s="991" t="s">
        <v>61</v>
      </c>
      <c r="B70" s="334"/>
      <c r="C70" s="334" t="s">
        <v>891</v>
      </c>
      <c r="D70" s="334" t="s">
        <v>817</v>
      </c>
      <c r="E70" s="334"/>
      <c r="F70" s="338"/>
    </row>
    <row r="71" spans="1:6" ht="20.25" thickBot="1">
      <c r="A71" s="1006"/>
      <c r="B71" s="340"/>
      <c r="C71" s="340"/>
      <c r="D71" s="341" t="s">
        <v>451</v>
      </c>
      <c r="E71" s="340"/>
      <c r="F71" s="342"/>
    </row>
    <row r="72" spans="1:6" ht="16.5" thickTop="1" thickBot="1">
      <c r="A72" s="995" t="s">
        <v>62</v>
      </c>
      <c r="B72" s="996" t="s">
        <v>63</v>
      </c>
      <c r="C72" s="1007" t="s">
        <v>772</v>
      </c>
      <c r="D72" s="1008">
        <v>2011</v>
      </c>
      <c r="E72" s="1008">
        <v>2020</v>
      </c>
      <c r="F72" s="997">
        <v>2014</v>
      </c>
    </row>
    <row r="73" spans="1:6">
      <c r="A73" s="998" t="s">
        <v>64</v>
      </c>
      <c r="B73" s="998" t="s">
        <v>773</v>
      </c>
      <c r="C73" s="1009" t="s">
        <v>774</v>
      </c>
      <c r="D73" s="333">
        <v>59190625</v>
      </c>
      <c r="E73" s="333">
        <v>60593072.908502892</v>
      </c>
      <c r="F73" s="333">
        <v>58856750</v>
      </c>
    </row>
    <row r="74" spans="1:6">
      <c r="A74" s="998" t="s">
        <v>64</v>
      </c>
      <c r="B74" s="998" t="s">
        <v>775</v>
      </c>
      <c r="C74" s="1009" t="s">
        <v>776</v>
      </c>
      <c r="D74" s="333">
        <v>3721475.1558060735</v>
      </c>
      <c r="E74" s="333">
        <v>3795937.9876092486</v>
      </c>
      <c r="F74" s="333">
        <v>3747616.8824659218</v>
      </c>
    </row>
    <row r="75" spans="1:6">
      <c r="A75" s="998" t="s">
        <v>65</v>
      </c>
      <c r="B75" s="998" t="s">
        <v>773</v>
      </c>
      <c r="C75" s="1009" t="s">
        <v>777</v>
      </c>
      <c r="D75" s="333">
        <v>22212877</v>
      </c>
      <c r="E75" s="333">
        <v>23044569.000297558</v>
      </c>
      <c r="F75" s="333">
        <v>22289506</v>
      </c>
    </row>
    <row r="76" spans="1:6">
      <c r="A76" s="998" t="s">
        <v>65</v>
      </c>
      <c r="B76" s="998" t="s">
        <v>775</v>
      </c>
      <c r="C76" s="1009" t="s">
        <v>778</v>
      </c>
      <c r="D76" s="333">
        <v>182061.15580607351</v>
      </c>
      <c r="E76" s="333">
        <v>223885.46632862522</v>
      </c>
      <c r="F76" s="333">
        <v>205126.88246592169</v>
      </c>
    </row>
    <row r="77" spans="1:6">
      <c r="A77" s="998" t="s">
        <v>66</v>
      </c>
      <c r="B77" s="998" t="s">
        <v>773</v>
      </c>
      <c r="C77" s="1009" t="s">
        <v>779</v>
      </c>
      <c r="D77" s="333">
        <v>0</v>
      </c>
      <c r="E77" s="333">
        <v>0</v>
      </c>
      <c r="F77" s="333">
        <v>0</v>
      </c>
    </row>
    <row r="78" spans="1:6">
      <c r="A78" s="994" t="s">
        <v>66</v>
      </c>
      <c r="B78" s="994" t="s">
        <v>775</v>
      </c>
      <c r="C78" s="994" t="s">
        <v>780</v>
      </c>
      <c r="D78" s="994">
        <v>0</v>
      </c>
      <c r="E78" s="994">
        <v>0</v>
      </c>
      <c r="F78" s="336">
        <v>0</v>
      </c>
    </row>
    <row r="79" spans="1:6">
      <c r="A79" s="1010"/>
      <c r="B79" s="1010"/>
    </row>
    <row r="80" spans="1:6" ht="15.75" thickBot="1">
      <c r="A80" s="1010"/>
      <c r="B80" s="1010"/>
    </row>
    <row r="81" spans="1:6" ht="20.25" thickBot="1">
      <c r="A81" s="991" t="s">
        <v>335</v>
      </c>
      <c r="B81" s="1011" t="s">
        <v>397</v>
      </c>
      <c r="C81" s="334" t="s">
        <v>828</v>
      </c>
      <c r="D81" s="334"/>
      <c r="E81" s="334"/>
      <c r="F81" s="338"/>
    </row>
    <row r="82" spans="1:6" ht="16.5" thickTop="1" thickBot="1">
      <c r="A82" s="995" t="s">
        <v>336</v>
      </c>
      <c r="B82" s="1008">
        <v>2011</v>
      </c>
      <c r="C82" s="1008">
        <v>2020</v>
      </c>
      <c r="D82" s="996">
        <v>2014</v>
      </c>
      <c r="E82" s="996"/>
      <c r="F82" s="997"/>
    </row>
    <row r="83" spans="1:6">
      <c r="A83" s="998" t="s">
        <v>337</v>
      </c>
      <c r="B83" s="333">
        <v>374775.68838785298</v>
      </c>
      <c r="C83" s="333">
        <v>342689.13901303883</v>
      </c>
      <c r="D83" s="333">
        <v>348632.23506815662</v>
      </c>
    </row>
    <row r="84" spans="1:6">
      <c r="A84" s="994" t="s">
        <v>338</v>
      </c>
      <c r="B84" s="336">
        <v>0</v>
      </c>
      <c r="C84" s="336">
        <v>0</v>
      </c>
      <c r="D84" s="336">
        <v>0</v>
      </c>
      <c r="E84" s="336"/>
      <c r="F84" s="336"/>
    </row>
    <row r="85" spans="1:6">
      <c r="A85" s="1010"/>
      <c r="B85" s="1012"/>
    </row>
    <row r="86" spans="1:6" ht="15.75" thickBot="1">
      <c r="A86" s="337"/>
    </row>
    <row r="87" spans="1:6" ht="20.25" thickBot="1">
      <c r="A87" s="991" t="s">
        <v>67</v>
      </c>
      <c r="B87" s="334" t="s">
        <v>397</v>
      </c>
      <c r="C87" s="334" t="s">
        <v>892</v>
      </c>
      <c r="D87" s="334"/>
      <c r="E87" s="334"/>
      <c r="F87" s="338"/>
    </row>
    <row r="88" spans="1:6" ht="16.5" thickTop="1" thickBot="1">
      <c r="A88" s="995" t="s">
        <v>4</v>
      </c>
      <c r="B88" s="996" t="s">
        <v>171</v>
      </c>
      <c r="C88" s="996"/>
      <c r="D88" s="996"/>
      <c r="E88" s="996"/>
      <c r="F88" s="997"/>
    </row>
    <row r="89" spans="1:6">
      <c r="A89" s="998" t="s">
        <v>561</v>
      </c>
      <c r="B89" s="333">
        <v>0</v>
      </c>
    </row>
    <row r="90" spans="1:6">
      <c r="A90" s="998" t="s">
        <v>562</v>
      </c>
      <c r="B90" s="949">
        <v>0</v>
      </c>
    </row>
    <row r="91" spans="1:6">
      <c r="A91" s="998" t="s">
        <v>68</v>
      </c>
      <c r="B91" s="333">
        <v>1364.9409289027856</v>
      </c>
    </row>
    <row r="92" spans="1:6">
      <c r="A92" s="994" t="s">
        <v>69</v>
      </c>
      <c r="B92" s="336">
        <v>38.449569953291793</v>
      </c>
      <c r="C92" s="336"/>
      <c r="D92" s="336"/>
      <c r="E92" s="336"/>
      <c r="F92" s="336"/>
    </row>
    <row r="93" spans="1:6">
      <c r="A93" s="337"/>
    </row>
    <row r="94" spans="1:6" ht="15.75" thickBot="1">
      <c r="A94" s="337"/>
    </row>
    <row r="95" spans="1:6" ht="20.25" thickBot="1">
      <c r="A95" s="991" t="s">
        <v>70</v>
      </c>
      <c r="B95" s="334" t="s">
        <v>397</v>
      </c>
      <c r="C95" s="334" t="s">
        <v>415</v>
      </c>
      <c r="D95" s="334"/>
      <c r="E95" s="334"/>
      <c r="F95" s="338"/>
    </row>
    <row r="96" spans="1:6" ht="16.5" thickTop="1" thickBot="1">
      <c r="A96" s="995" t="s">
        <v>4</v>
      </c>
      <c r="B96" s="996" t="s">
        <v>5</v>
      </c>
      <c r="C96" s="996"/>
      <c r="D96" s="996"/>
      <c r="E96" s="996"/>
      <c r="F96" s="997"/>
    </row>
    <row r="97" spans="1:6">
      <c r="A97" s="998" t="s">
        <v>71</v>
      </c>
      <c r="B97" s="333">
        <v>1130</v>
      </c>
    </row>
    <row r="98" spans="1:6">
      <c r="A98" s="998" t="s">
        <v>72</v>
      </c>
      <c r="B98" s="333">
        <v>3</v>
      </c>
    </row>
    <row r="99" spans="1:6">
      <c r="A99" s="998" t="s">
        <v>73</v>
      </c>
      <c r="B99" s="333">
        <v>45</v>
      </c>
    </row>
    <row r="100" spans="1:6">
      <c r="A100" s="998" t="s">
        <v>74</v>
      </c>
      <c r="B100" s="333">
        <v>630</v>
      </c>
    </row>
    <row r="101" spans="1:6">
      <c r="A101" s="998" t="s">
        <v>75</v>
      </c>
      <c r="B101" s="333">
        <v>47</v>
      </c>
    </row>
    <row r="102" spans="1:6">
      <c r="A102" s="998" t="s">
        <v>76</v>
      </c>
      <c r="B102" s="333">
        <v>102</v>
      </c>
    </row>
    <row r="103" spans="1:6">
      <c r="A103" s="998" t="s">
        <v>77</v>
      </c>
      <c r="B103" s="333">
        <v>123</v>
      </c>
    </row>
    <row r="104" spans="1:6">
      <c r="A104" s="998" t="s">
        <v>78</v>
      </c>
      <c r="B104" s="333">
        <v>3335</v>
      </c>
    </row>
    <row r="105" spans="1:6">
      <c r="A105" s="994" t="s">
        <v>79</v>
      </c>
      <c r="B105" s="994">
        <v>2</v>
      </c>
      <c r="C105" s="336"/>
      <c r="D105" s="336"/>
      <c r="E105" s="336"/>
      <c r="F105" s="336"/>
    </row>
    <row r="106" spans="1:6">
      <c r="A106" s="337"/>
    </row>
    <row r="107" spans="1:6" ht="15.75" thickBot="1">
      <c r="A107" s="337"/>
    </row>
    <row r="108" spans="1:6" ht="20.25" thickBot="1">
      <c r="A108" s="991" t="s">
        <v>669</v>
      </c>
      <c r="B108" s="334" t="s">
        <v>397</v>
      </c>
      <c r="C108" s="334" t="s">
        <v>412</v>
      </c>
      <c r="D108" s="334"/>
      <c r="E108" s="334"/>
      <c r="F108" s="338"/>
    </row>
    <row r="109" spans="1:6" ht="16.5" thickTop="1" thickBot="1">
      <c r="A109" s="995" t="s">
        <v>4</v>
      </c>
      <c r="B109" s="996" t="s">
        <v>5</v>
      </c>
      <c r="C109" s="996"/>
      <c r="D109" s="996"/>
      <c r="E109" s="996"/>
      <c r="F109" s="997"/>
    </row>
    <row r="110" spans="1:6">
      <c r="A110" s="387" t="s">
        <v>670</v>
      </c>
      <c r="B110" s="333">
        <v>0</v>
      </c>
    </row>
    <row r="111" spans="1:6">
      <c r="A111" s="994" t="s">
        <v>671</v>
      </c>
      <c r="B111" s="994">
        <v>0</v>
      </c>
      <c r="C111" s="994"/>
      <c r="D111" s="994"/>
      <c r="E111" s="994"/>
      <c r="F111" s="994"/>
    </row>
    <row r="112" spans="1:6">
      <c r="A112" s="337"/>
    </row>
    <row r="113" spans="1:6" ht="15.75" thickBot="1">
      <c r="A113" s="337"/>
    </row>
    <row r="114" spans="1:6" ht="20.25" thickBot="1">
      <c r="A114" s="991"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995" t="s">
        <v>4</v>
      </c>
      <c r="B116" s="996" t="s">
        <v>5</v>
      </c>
      <c r="C116" s="996" t="s">
        <v>5</v>
      </c>
      <c r="D116" s="996"/>
      <c r="E116" s="996"/>
      <c r="F116" s="997"/>
    </row>
    <row r="117" spans="1:6">
      <c r="A117" s="998" t="s">
        <v>83</v>
      </c>
      <c r="B117" s="333">
        <v>0</v>
      </c>
      <c r="C117" s="333">
        <v>0</v>
      </c>
    </row>
    <row r="118" spans="1:6">
      <c r="A118" s="998" t="s">
        <v>84</v>
      </c>
      <c r="B118" s="333">
        <v>0</v>
      </c>
      <c r="C118" s="333">
        <v>0</v>
      </c>
    </row>
    <row r="119" spans="1:6">
      <c r="A119" s="998" t="s">
        <v>32</v>
      </c>
      <c r="B119" s="333">
        <v>0</v>
      </c>
      <c r="C119" s="333">
        <v>0</v>
      </c>
    </row>
    <row r="120" spans="1:6">
      <c r="A120" s="998" t="s">
        <v>85</v>
      </c>
      <c r="B120" s="333">
        <v>0</v>
      </c>
      <c r="C120" s="333">
        <v>0</v>
      </c>
    </row>
    <row r="121" spans="1:6">
      <c r="A121" s="998" t="s">
        <v>86</v>
      </c>
      <c r="B121" s="333">
        <v>0</v>
      </c>
      <c r="C121" s="333">
        <v>0</v>
      </c>
    </row>
    <row r="122" spans="1:6">
      <c r="A122" s="998" t="s">
        <v>87</v>
      </c>
      <c r="B122" s="333">
        <v>0</v>
      </c>
      <c r="C122" s="333">
        <v>0</v>
      </c>
    </row>
    <row r="123" spans="1:6">
      <c r="A123" s="998" t="s">
        <v>88</v>
      </c>
      <c r="B123" s="333">
        <v>2</v>
      </c>
      <c r="C123" s="333">
        <v>4</v>
      </c>
    </row>
    <row r="124" spans="1:6">
      <c r="A124" s="994" t="s">
        <v>89</v>
      </c>
      <c r="B124" s="333">
        <v>0</v>
      </c>
      <c r="C124" s="333">
        <v>0</v>
      </c>
      <c r="D124" s="336"/>
      <c r="E124" s="336"/>
      <c r="F124" s="336"/>
    </row>
    <row r="125" spans="1:6">
      <c r="A125" s="1010"/>
    </row>
    <row r="126" spans="1:6" ht="15.75" thickBot="1">
      <c r="A126" s="1010"/>
    </row>
    <row r="127" spans="1:6" ht="20.25" thickBot="1">
      <c r="A127" s="991" t="s">
        <v>294</v>
      </c>
      <c r="B127" s="334" t="s">
        <v>397</v>
      </c>
      <c r="C127" s="334" t="s">
        <v>412</v>
      </c>
      <c r="D127" s="334"/>
      <c r="E127" s="334"/>
      <c r="F127" s="338"/>
    </row>
    <row r="128" spans="1:6" ht="16.5" thickTop="1" thickBot="1">
      <c r="A128" s="995" t="s">
        <v>4</v>
      </c>
      <c r="B128" s="996" t="s">
        <v>5</v>
      </c>
      <c r="C128" s="996"/>
      <c r="D128" s="996"/>
      <c r="E128" s="996"/>
      <c r="F128" s="997"/>
    </row>
    <row r="129" spans="1:6">
      <c r="A129" s="998" t="s">
        <v>295</v>
      </c>
      <c r="B129" s="333">
        <v>46</v>
      </c>
    </row>
    <row r="130" spans="1:6">
      <c r="A130" s="998" t="s">
        <v>296</v>
      </c>
      <c r="B130" s="333">
        <v>0</v>
      </c>
    </row>
    <row r="131" spans="1:6">
      <c r="A131" s="998" t="s">
        <v>297</v>
      </c>
      <c r="B131" s="333">
        <v>2</v>
      </c>
    </row>
    <row r="132" spans="1:6">
      <c r="A132" s="994" t="s">
        <v>298</v>
      </c>
      <c r="B132" s="336">
        <v>6</v>
      </c>
      <c r="C132" s="336"/>
      <c r="D132" s="336"/>
      <c r="E132" s="336"/>
      <c r="F132" s="336"/>
    </row>
    <row r="134" spans="1:6">
      <c r="A134" s="101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45032.142856767852</v>
      </c>
      <c r="C3" s="43" t="s">
        <v>171</v>
      </c>
      <c r="D3" s="43"/>
      <c r="E3" s="156"/>
      <c r="F3" s="43"/>
      <c r="G3" s="43"/>
      <c r="H3" s="43"/>
      <c r="I3" s="43"/>
      <c r="J3" s="43"/>
      <c r="K3" s="96"/>
    </row>
    <row r="4" spans="1:11">
      <c r="A4" s="364" t="s">
        <v>172</v>
      </c>
      <c r="B4" s="49">
        <f>IF(ISERROR('SEAP template'!B69),0,'SEAP template'!B69)</f>
        <v>2726.3904988560771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314.40705882352944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0.2146017870093348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449.15294117647068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1890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15">
        <v>2011</v>
      </c>
      <c r="B1" s="111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7"/>
      <c r="B2" s="111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7"/>
      <c r="B3" s="111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9"/>
      <c r="B4" s="112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1" t="s">
        <v>480</v>
      </c>
      <c r="B2" s="1122"/>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23" t="s">
        <v>195</v>
      </c>
      <c r="B1" s="1124" t="s">
        <v>196</v>
      </c>
      <c r="C1" s="1125"/>
      <c r="D1" s="1125"/>
      <c r="E1" s="1125"/>
      <c r="F1" s="1125"/>
      <c r="G1" s="1125"/>
      <c r="H1" s="1125"/>
      <c r="I1" s="1125"/>
      <c r="J1" s="1125"/>
      <c r="K1" s="1125"/>
      <c r="L1" s="1125"/>
      <c r="M1" s="1125"/>
      <c r="N1" s="1125"/>
      <c r="O1" s="1125"/>
      <c r="P1" s="1125"/>
    </row>
    <row r="2" spans="1:16" s="333" customFormat="1" ht="15.75" thickTop="1">
      <c r="A2" s="1123"/>
      <c r="B2" s="1126" t="s">
        <v>21</v>
      </c>
      <c r="C2" s="1126" t="s">
        <v>197</v>
      </c>
      <c r="D2" s="1128" t="s">
        <v>198</v>
      </c>
      <c r="E2" s="1129"/>
      <c r="F2" s="1129"/>
      <c r="G2" s="1129"/>
      <c r="H2" s="1129"/>
      <c r="I2" s="1129"/>
      <c r="J2" s="1129"/>
      <c r="K2" s="1130"/>
      <c r="L2" s="1128" t="s">
        <v>199</v>
      </c>
      <c r="M2" s="1129"/>
      <c r="N2" s="1129"/>
      <c r="O2" s="1129"/>
      <c r="P2" s="1130"/>
    </row>
    <row r="3" spans="1:16" s="333"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816.55700000000002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816.55700000000002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0.2146017870093348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175.23459139498141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23" t="s">
        <v>155</v>
      </c>
      <c r="B1" s="1124" t="s">
        <v>196</v>
      </c>
      <c r="C1" s="1125"/>
      <c r="D1" s="1125"/>
      <c r="E1" s="1125"/>
      <c r="F1" s="1125"/>
      <c r="G1" s="1125"/>
      <c r="H1" s="1125"/>
      <c r="I1" s="1125"/>
      <c r="J1" s="1125"/>
      <c r="K1" s="1125"/>
      <c r="L1" s="1125"/>
      <c r="M1" s="1125"/>
      <c r="N1" s="1125"/>
      <c r="O1" s="1125"/>
      <c r="P1" s="1125"/>
    </row>
    <row r="2" spans="1:16" s="333" customFormat="1" ht="15.75" thickTop="1">
      <c r="A2" s="1123"/>
      <c r="B2" s="1126" t="s">
        <v>21</v>
      </c>
      <c r="C2" s="1126" t="s">
        <v>197</v>
      </c>
      <c r="D2" s="1128" t="s">
        <v>198</v>
      </c>
      <c r="E2" s="1129"/>
      <c r="F2" s="1129"/>
      <c r="G2" s="1129"/>
      <c r="H2" s="1129"/>
      <c r="I2" s="1129"/>
      <c r="J2" s="1129"/>
      <c r="K2" s="1130"/>
      <c r="L2" s="1128" t="s">
        <v>199</v>
      </c>
      <c r="M2" s="1129"/>
      <c r="N2" s="1129"/>
      <c r="O2" s="1129"/>
      <c r="P2" s="1130"/>
    </row>
    <row r="3" spans="1:16" s="333"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28075.656999999999</v>
      </c>
      <c r="C5" s="17">
        <f>IF(ISERROR('Eigen informatie GS &amp; warmtenet'!B57),0,'Eigen informatie GS &amp; warmtenet'!B57)</f>
        <v>0</v>
      </c>
      <c r="D5" s="30">
        <f>(SUM(HH_hh_gas_kWh,HH_rest_gas_kWh)/1000)*0.902</f>
        <v>45126.461072000006</v>
      </c>
      <c r="E5" s="17">
        <f>B46*B57</f>
        <v>2094.0904412816553</v>
      </c>
      <c r="F5" s="17">
        <f>B51*B62</f>
        <v>37956.385415614437</v>
      </c>
      <c r="G5" s="18"/>
      <c r="H5" s="17"/>
      <c r="I5" s="17"/>
      <c r="J5" s="17">
        <f>B50*B61+C50*C61</f>
        <v>0</v>
      </c>
      <c r="K5" s="17"/>
      <c r="L5" s="17"/>
      <c r="M5" s="17"/>
      <c r="N5" s="17">
        <f>B48*B59+C48*C59</f>
        <v>6328.2070392803407</v>
      </c>
      <c r="O5" s="17">
        <f>B69*B70*B71</f>
        <v>78.166666666666671</v>
      </c>
      <c r="P5" s="17">
        <f>B77*B78*B79/1000-B77*B78*B79/1000/B80</f>
        <v>152.53333333333333</v>
      </c>
    </row>
    <row r="6" spans="1:16">
      <c r="A6" s="16" t="s">
        <v>633</v>
      </c>
      <c r="B6" s="830">
        <f>kWh_PV_kleiner_dan_10kW</f>
        <v>1364.9409289027856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29440.597928902785</v>
      </c>
      <c r="C8" s="21">
        <f>C5</f>
        <v>0</v>
      </c>
      <c r="D8" s="21">
        <f>D5</f>
        <v>45126.461072000006</v>
      </c>
      <c r="E8" s="21">
        <f>E5</f>
        <v>2094.0904412816553</v>
      </c>
      <c r="F8" s="21">
        <f>F5</f>
        <v>37956.385415614437</v>
      </c>
      <c r="G8" s="21"/>
      <c r="H8" s="21"/>
      <c r="I8" s="21"/>
      <c r="J8" s="21">
        <f>J5</f>
        <v>0</v>
      </c>
      <c r="K8" s="21"/>
      <c r="L8" s="21">
        <f>L5</f>
        <v>0</v>
      </c>
      <c r="M8" s="21">
        <f>M5</f>
        <v>0</v>
      </c>
      <c r="N8" s="21">
        <f>N5</f>
        <v>6328.2070392803407</v>
      </c>
      <c r="O8" s="21">
        <f>O5</f>
        <v>78.166666666666671</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0.2146017870093348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6318.0049261658587</v>
      </c>
      <c r="C12" s="23">
        <f ca="1">C10*C8</f>
        <v>0</v>
      </c>
      <c r="D12" s="23">
        <f>D8*D10</f>
        <v>9115.5451365440022</v>
      </c>
      <c r="E12" s="23">
        <f>E10*E8</f>
        <v>475.35853017093575</v>
      </c>
      <c r="F12" s="23">
        <f>F10*F8</f>
        <v>10134.354905969056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1130</v>
      </c>
      <c r="C18" s="167" t="s">
        <v>111</v>
      </c>
      <c r="D18" s="229"/>
      <c r="E18" s="15"/>
    </row>
    <row r="19" spans="1:7">
      <c r="A19" s="172" t="s">
        <v>72</v>
      </c>
      <c r="B19" s="37">
        <f>aantalw2001_ander</f>
        <v>3</v>
      </c>
      <c r="C19" s="167" t="s">
        <v>111</v>
      </c>
      <c r="D19" s="230"/>
      <c r="E19" s="15"/>
    </row>
    <row r="20" spans="1:7">
      <c r="A20" s="172" t="s">
        <v>73</v>
      </c>
      <c r="B20" s="37">
        <f>aantalw2001_propaan</f>
        <v>45</v>
      </c>
      <c r="C20" s="168">
        <f>IF(ISERROR(B20/SUM($B$20,$B$21,$B$22)*100),0,B20/SUM($B$20,$B$21,$B$22)*100)</f>
        <v>6.2326869806094187</v>
      </c>
      <c r="D20" s="230"/>
      <c r="E20" s="15"/>
    </row>
    <row r="21" spans="1:7">
      <c r="A21" s="172" t="s">
        <v>74</v>
      </c>
      <c r="B21" s="37">
        <f>aantalw2001_elektriciteit</f>
        <v>630</v>
      </c>
      <c r="C21" s="168">
        <f>IF(ISERROR(B21/SUM($B$20,$B$21,$B$22)*100),0,B21/SUM($B$20,$B$21,$B$22)*100)</f>
        <v>87.257617728531855</v>
      </c>
      <c r="D21" s="230"/>
      <c r="E21" s="15"/>
    </row>
    <row r="22" spans="1:7">
      <c r="A22" s="172" t="s">
        <v>75</v>
      </c>
      <c r="B22" s="37">
        <f>aantalw2001_hout</f>
        <v>47</v>
      </c>
      <c r="C22" s="168">
        <f>IF(ISERROR(B22/SUM($B$20,$B$21,$B$22)*100),0,B22/SUM($B$20,$B$21,$B$22)*100)</f>
        <v>6.5096952908587262</v>
      </c>
      <c r="D22" s="230"/>
      <c r="E22" s="15"/>
    </row>
    <row r="23" spans="1:7">
      <c r="A23" s="172" t="s">
        <v>76</v>
      </c>
      <c r="B23" s="37">
        <f>aantalw2001_niet_gespec</f>
        <v>102</v>
      </c>
      <c r="C23" s="167" t="s">
        <v>111</v>
      </c>
      <c r="D23" s="229"/>
      <c r="E23" s="15"/>
    </row>
    <row r="24" spans="1:7">
      <c r="A24" s="172" t="s">
        <v>77</v>
      </c>
      <c r="B24" s="37">
        <f>aantalw2001_steenkool</f>
        <v>123</v>
      </c>
      <c r="C24" s="167" t="s">
        <v>111</v>
      </c>
      <c r="D24" s="230"/>
      <c r="E24" s="15"/>
    </row>
    <row r="25" spans="1:7">
      <c r="A25" s="172" t="s">
        <v>78</v>
      </c>
      <c r="B25" s="37">
        <f>aantalw2001_stookolie</f>
        <v>3335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6292</v>
      </c>
      <c r="C28" s="36"/>
      <c r="D28" s="229"/>
    </row>
    <row r="29" spans="1:7" s="15" customFormat="1">
      <c r="A29" s="231" t="s">
        <v>714</v>
      </c>
      <c r="B29" s="37">
        <f>SUM(HH_hh_gas_aantal,HH_rest_gas_aantal)</f>
        <v>2986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2986</v>
      </c>
      <c r="C32" s="168">
        <f>IF(ISERROR(B32/SUM($B$32,$B$34,$B$35,$B$36,$B$38,$B$39)*100),0,B32/SUM($B$32,$B$34,$B$35,$B$36,$B$38,$B$39)*100)</f>
        <v>47.517504774029277</v>
      </c>
      <c r="D32" s="234"/>
      <c r="G32" s="15"/>
    </row>
    <row r="33" spans="1:7">
      <c r="A33" s="172" t="s">
        <v>72</v>
      </c>
      <c r="B33" s="34" t="s">
        <v>111</v>
      </c>
      <c r="C33" s="168"/>
      <c r="D33" s="234"/>
      <c r="G33" s="15"/>
    </row>
    <row r="34" spans="1:7">
      <c r="A34" s="172" t="s">
        <v>73</v>
      </c>
      <c r="B34" s="33">
        <f>IF((($B$28-$B$32-$B$39-$B$77-$B$38)*C20/100)&lt;0,0,($B$28-$B$32-$B$39-$B$77-$B$38)*C20/100)</f>
        <v>101.80470914127426</v>
      </c>
      <c r="C34" s="168">
        <f>IF(ISERROR(B34/SUM($B$32,$B$34,$B$35,$B$36,$B$38,$B$39)*100),0,B34/SUM($B$32,$B$34,$B$35,$B$36,$B$38,$B$39)*100)</f>
        <v>1.620062207849686</v>
      </c>
      <c r="D34" s="234"/>
      <c r="G34" s="15"/>
    </row>
    <row r="35" spans="1:7">
      <c r="A35" s="172" t="s">
        <v>74</v>
      </c>
      <c r="B35" s="33">
        <f>IF((($B$28-$B$32-$B$39-$B$77-$B$38)*C21/100)&lt;0,0,($B$28-$B$32-$B$39-$B$77-$B$38)*C21/100)</f>
        <v>1425.2659279778393</v>
      </c>
      <c r="C35" s="168">
        <f>IF(ISERROR(B35/SUM($B$32,$B$34,$B$35,$B$36,$B$38,$B$39)*100),0,B35/SUM($B$32,$B$34,$B$35,$B$36,$B$38,$B$39)*100)</f>
        <v>22.680870909895596</v>
      </c>
      <c r="D35" s="234"/>
      <c r="G35" s="15"/>
    </row>
    <row r="36" spans="1:7">
      <c r="A36" s="172" t="s">
        <v>75</v>
      </c>
      <c r="B36" s="33">
        <f>IF((($B$28-$B$32-$B$39-$B$77-$B$38)*C22/100)&lt;0,0,($B$28-$B$32-$B$39-$B$77-$B$38)*C22/100)</f>
        <v>106.32936288088644</v>
      </c>
      <c r="C36" s="168">
        <f>IF(ISERROR(B36/SUM($B$32,$B$34,$B$35,$B$36,$B$38,$B$39)*100),0,B36/SUM($B$32,$B$34,$B$35,$B$36,$B$38,$B$39)*100)</f>
        <v>1.692064972643005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1664.6</v>
      </c>
      <c r="C39" s="168">
        <f>IF(ISERROR(B39/SUM($B$32,$B$34,$B$35,$B$36,$B$38,$B$39)*100),0,B39/SUM($B$32,$B$34,$B$35,$B$36,$B$38,$B$39)*100)</f>
        <v>26.489497135582429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2986</v>
      </c>
      <c r="C44" s="34" t="s">
        <v>111</v>
      </c>
      <c r="D44" s="175"/>
    </row>
    <row r="45" spans="1:7">
      <c r="A45" s="172" t="s">
        <v>72</v>
      </c>
      <c r="B45" s="33" t="str">
        <f t="shared" si="0"/>
        <v>-</v>
      </c>
      <c r="C45" s="34" t="s">
        <v>111</v>
      </c>
      <c r="D45" s="175"/>
    </row>
    <row r="46" spans="1:7">
      <c r="A46" s="172" t="s">
        <v>73</v>
      </c>
      <c r="B46" s="33">
        <f t="shared" si="0"/>
        <v>101.80470914127426</v>
      </c>
      <c r="C46" s="34" t="s">
        <v>111</v>
      </c>
      <c r="D46" s="175"/>
    </row>
    <row r="47" spans="1:7">
      <c r="A47" s="172" t="s">
        <v>74</v>
      </c>
      <c r="B47" s="33">
        <f t="shared" si="0"/>
        <v>1425.2659279778393</v>
      </c>
      <c r="C47" s="34" t="s">
        <v>111</v>
      </c>
      <c r="D47" s="175"/>
    </row>
    <row r="48" spans="1:7">
      <c r="A48" s="172" t="s">
        <v>75</v>
      </c>
      <c r="B48" s="33">
        <f t="shared" si="0"/>
        <v>106.32936288088644</v>
      </c>
      <c r="C48" s="33">
        <f>B48*10</f>
        <v>1063.2936288088645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1664.6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23" t="s">
        <v>156</v>
      </c>
      <c r="B1" s="1124" t="s">
        <v>196</v>
      </c>
      <c r="C1" s="1125"/>
      <c r="D1" s="1125"/>
      <c r="E1" s="1125"/>
      <c r="F1" s="1125"/>
      <c r="G1" s="1125"/>
      <c r="H1" s="1125"/>
      <c r="I1" s="1125"/>
      <c r="J1" s="1125"/>
      <c r="K1" s="1125"/>
      <c r="L1" s="1125"/>
      <c r="M1" s="1125"/>
      <c r="N1" s="1125"/>
      <c r="O1" s="1125"/>
      <c r="P1" s="1125"/>
    </row>
    <row r="2" spans="1:18" s="317" customFormat="1" ht="15.75" thickTop="1">
      <c r="A2" s="1123"/>
      <c r="B2" s="1126" t="s">
        <v>21</v>
      </c>
      <c r="C2" s="1126" t="s">
        <v>197</v>
      </c>
      <c r="D2" s="1128" t="s">
        <v>198</v>
      </c>
      <c r="E2" s="1129"/>
      <c r="F2" s="1129"/>
      <c r="G2" s="1129"/>
      <c r="H2" s="1129"/>
      <c r="I2" s="1129"/>
      <c r="J2" s="1129"/>
      <c r="K2" s="1130"/>
      <c r="L2" s="1128" t="s">
        <v>199</v>
      </c>
      <c r="M2" s="1129"/>
      <c r="N2" s="1129"/>
      <c r="O2" s="1129"/>
      <c r="P2" s="1130"/>
    </row>
    <row r="3" spans="1:18" s="317"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11317.375999999998</v>
      </c>
      <c r="C5" s="17">
        <f>IF(ISERROR('Eigen informatie GS &amp; warmtenet'!B58),0,'Eigen informatie GS &amp; warmtenet'!B58)</f>
        <v>0</v>
      </c>
      <c r="D5" s="30">
        <f>SUM(D6:D12)</f>
        <v>38842.213541999998</v>
      </c>
      <c r="E5" s="17">
        <f>SUM(E6:E12)</f>
        <v>210.94406778662892</v>
      </c>
      <c r="F5" s="17">
        <f>SUM(F6:F12)</f>
        <v>2108.7319613377003</v>
      </c>
      <c r="G5" s="18"/>
      <c r="H5" s="17"/>
      <c r="I5" s="17"/>
      <c r="J5" s="17">
        <f>SUM(J6:J12)</f>
        <v>0</v>
      </c>
      <c r="K5" s="17"/>
      <c r="L5" s="17"/>
      <c r="M5" s="17"/>
      <c r="N5" s="17">
        <f>SUM(N6:N12)</f>
        <v>256.23816778206196</v>
      </c>
      <c r="O5" s="17">
        <f>B38*B39*B40</f>
        <v>0</v>
      </c>
      <c r="P5" s="17">
        <f>B46*B47*B48/1000-B46*B47*B48/1000/B49</f>
        <v>38.133333333333333</v>
      </c>
      <c r="R5" s="32"/>
    </row>
    <row r="6" spans="1:18">
      <c r="A6" s="32" t="s">
        <v>54</v>
      </c>
      <c r="B6" s="37">
        <f>B26</f>
        <v>2931.4259999999999</v>
      </c>
      <c r="C6" s="33"/>
      <c r="D6" s="37">
        <f>IF(ISERROR(TER_kantoor_gas_kWh/1000),0,TER_kantoor_gas_kWh/1000)*0.902</f>
        <v>32550.705813999997</v>
      </c>
      <c r="E6" s="33">
        <f>$C$26*'E Balans VL '!I12/100/3.6*1000000</f>
        <v>102.61144148716393</v>
      </c>
      <c r="F6" s="33">
        <f>$C$26*('E Balans VL '!L12+'E Balans VL '!N12)/100/3.6*1000000</f>
        <v>444.4671186994928</v>
      </c>
      <c r="G6" s="34"/>
      <c r="H6" s="33"/>
      <c r="I6" s="33"/>
      <c r="J6" s="33">
        <f>$C$26*('E Balans VL '!D12+'E Balans VL '!E12)/100/3.6*1000000</f>
        <v>0</v>
      </c>
      <c r="K6" s="33"/>
      <c r="L6" s="33"/>
      <c r="M6" s="33"/>
      <c r="N6" s="33">
        <f>$C$26*'E Balans VL '!Y12/100/3.6*1000000</f>
        <v>22.659005468913033</v>
      </c>
      <c r="O6" s="33"/>
      <c r="P6" s="33"/>
      <c r="R6" s="32"/>
    </row>
    <row r="7" spans="1:18">
      <c r="A7" s="32" t="s">
        <v>53</v>
      </c>
      <c r="B7" s="37">
        <f t="shared" ref="B7:B12" si="0">B27</f>
        <v>1348.1780000000001</v>
      </c>
      <c r="C7" s="33"/>
      <c r="D7" s="37">
        <f>IF(ISERROR(TER_horeca_gas_kWh/1000),0,TER_horeca_gas_kWh/1000)*0.902</f>
        <v>1339.4438420000001</v>
      </c>
      <c r="E7" s="33">
        <f>$C$27*'E Balans VL '!I9/100/3.6*1000000</f>
        <v>76.05516560158145</v>
      </c>
      <c r="F7" s="33">
        <f>$C$27*('E Balans VL '!L9+'E Balans VL '!N9)/100/3.6*1000000</f>
        <v>234.8600685128456</v>
      </c>
      <c r="G7" s="34"/>
      <c r="H7" s="33"/>
      <c r="I7" s="33"/>
      <c r="J7" s="33">
        <f>$C$27*('E Balans VL '!D9+'E Balans VL '!E9)/100/3.6*1000000</f>
        <v>0</v>
      </c>
      <c r="K7" s="33"/>
      <c r="L7" s="33"/>
      <c r="M7" s="33"/>
      <c r="N7" s="33">
        <f>$C$27*'E Balans VL '!Y9/100/3.6*1000000</f>
        <v>0</v>
      </c>
      <c r="O7" s="33"/>
      <c r="P7" s="33"/>
      <c r="R7" s="32"/>
    </row>
    <row r="8" spans="1:18">
      <c r="A8" s="6" t="s">
        <v>52</v>
      </c>
      <c r="B8" s="37">
        <f t="shared" si="0"/>
        <v>5029.6610000000001</v>
      </c>
      <c r="C8" s="33"/>
      <c r="D8" s="37">
        <f>IF(ISERROR(TER_handel_gas_kWh/1000),0,TER_handel_gas_kWh/1000)*0.902</f>
        <v>2054.9688719999999</v>
      </c>
      <c r="E8" s="33">
        <f>$C$28*'E Balans VL '!I13/100/3.6*1000000</f>
        <v>25.821768567853709</v>
      </c>
      <c r="F8" s="33">
        <f>$C$28*('E Balans VL '!L13+'E Balans VL '!N13)/100/3.6*1000000</f>
        <v>775.49600995962965</v>
      </c>
      <c r="G8" s="34"/>
      <c r="H8" s="33"/>
      <c r="I8" s="33"/>
      <c r="J8" s="33">
        <f>$C$28*('E Balans VL '!D13+'E Balans VL '!E13)/100/3.6*1000000</f>
        <v>0</v>
      </c>
      <c r="K8" s="33"/>
      <c r="L8" s="33"/>
      <c r="M8" s="33"/>
      <c r="N8" s="33">
        <f>$C$28*'E Balans VL '!Y13/100/3.6*1000000</f>
        <v>2.3524338449765398</v>
      </c>
      <c r="O8" s="33"/>
      <c r="P8" s="33"/>
      <c r="R8" s="32"/>
    </row>
    <row r="9" spans="1:18">
      <c r="A9" s="32" t="s">
        <v>51</v>
      </c>
      <c r="B9" s="37">
        <f t="shared" si="0"/>
        <v>740.96400000000006</v>
      </c>
      <c r="C9" s="33"/>
      <c r="D9" s="37">
        <f>IF(ISERROR(TER_gezond_gas_kWh/1000),0,TER_gezond_gas_kWh/1000)*0.902</f>
        <v>1824.020792</v>
      </c>
      <c r="E9" s="33">
        <f>$C$29*'E Balans VL '!I10/100/3.6*1000000</f>
        <v>0.30712430104351696</v>
      </c>
      <c r="F9" s="33">
        <f>$C$29*('E Balans VL '!L10+'E Balans VL '!N10)/100/3.6*1000000</f>
        <v>182.48880635869881</v>
      </c>
      <c r="G9" s="34"/>
      <c r="H9" s="33"/>
      <c r="I9" s="33"/>
      <c r="J9" s="33">
        <f>$C$29*('E Balans VL '!D10+'E Balans VL '!E10)/100/3.6*1000000</f>
        <v>0</v>
      </c>
      <c r="K9" s="33"/>
      <c r="L9" s="33"/>
      <c r="M9" s="33"/>
      <c r="N9" s="33">
        <f>$C$29*'E Balans VL '!Y10/100/3.6*1000000</f>
        <v>6.4037629386078203</v>
      </c>
      <c r="O9" s="33"/>
      <c r="P9" s="33"/>
      <c r="R9" s="32"/>
    </row>
    <row r="10" spans="1:18">
      <c r="A10" s="32" t="s">
        <v>50</v>
      </c>
      <c r="B10" s="37">
        <f t="shared" si="0"/>
        <v>971.68399999999997</v>
      </c>
      <c r="C10" s="33"/>
      <c r="D10" s="37">
        <f>IF(ISERROR(TER_ander_gas_kWh/1000),0,TER_ander_gas_kWh/1000)*0.902</f>
        <v>1061.1118979999999</v>
      </c>
      <c r="E10" s="33">
        <f>$C$30*'E Balans VL '!I14/100/3.6*1000000</f>
        <v>5.9234096380653494</v>
      </c>
      <c r="F10" s="33">
        <f>$C$30*('E Balans VL '!L14+'E Balans VL '!N14)/100/3.6*1000000</f>
        <v>257.60673896091748</v>
      </c>
      <c r="G10" s="34"/>
      <c r="H10" s="33"/>
      <c r="I10" s="33"/>
      <c r="J10" s="33">
        <f>$C$30*('E Balans VL '!D14+'E Balans VL '!E14)/100/3.6*1000000</f>
        <v>0</v>
      </c>
      <c r="K10" s="33"/>
      <c r="L10" s="33"/>
      <c r="M10" s="33"/>
      <c r="N10" s="33">
        <f>$C$30*'E Balans VL '!Y14/100/3.6*1000000</f>
        <v>223.95216545419433</v>
      </c>
      <c r="O10" s="33"/>
      <c r="P10" s="33"/>
      <c r="R10" s="32"/>
    </row>
    <row r="11" spans="1:18">
      <c r="A11" s="32" t="s">
        <v>55</v>
      </c>
      <c r="B11" s="37">
        <f t="shared" si="0"/>
        <v>295.46300000000002</v>
      </c>
      <c r="C11" s="33"/>
      <c r="D11" s="37">
        <f>IF(ISERROR(TER_onderwijs_gas_kWh/1000),0,TER_onderwijs_gas_kWh/1000)*0.902</f>
        <v>0</v>
      </c>
      <c r="E11" s="33">
        <f>$C$31*'E Balans VL '!I11/100/3.6*1000000</f>
        <v>0.2251581909209415</v>
      </c>
      <c r="F11" s="33">
        <f>$C$31*('E Balans VL '!L11+'E Balans VL '!N11)/100/3.6*1000000</f>
        <v>213.81321884611592</v>
      </c>
      <c r="G11" s="34"/>
      <c r="H11" s="33"/>
      <c r="I11" s="33"/>
      <c r="J11" s="33">
        <f>$C$31*('E Balans VL '!D11+'E Balans VL '!E11)/100/3.6*1000000</f>
        <v>0</v>
      </c>
      <c r="K11" s="33"/>
      <c r="L11" s="33"/>
      <c r="M11" s="33"/>
      <c r="N11" s="33">
        <f>$C$31*'E Balans VL '!Y11/100/3.6*1000000</f>
        <v>0.87080007537026749</v>
      </c>
      <c r="O11" s="33"/>
      <c r="P11" s="33"/>
      <c r="R11" s="32"/>
    </row>
    <row r="12" spans="1:18">
      <c r="A12" s="32" t="s">
        <v>261</v>
      </c>
      <c r="B12" s="37">
        <f t="shared" si="0"/>
        <v>0</v>
      </c>
      <c r="C12" s="33"/>
      <c r="D12" s="37">
        <f>IF(ISERROR(TER_rest_gas_kWh/1000),0,TER_rest_gas_kWh/1000)*0.902</f>
        <v>11.962324000000001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1323</v>
      </c>
      <c r="C13" s="248">
        <f ca="1">'lokale energieproductie'!O90+'lokale energieproductie'!O59</f>
        <v>1890</v>
      </c>
      <c r="D13" s="311">
        <f ca="1">('lokale energieproductie'!P59+'lokale energieproductie'!P90)*(-1)</f>
        <v>-3780.0000000000005</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12640.375999999998</v>
      </c>
      <c r="C16" s="21">
        <f ca="1">C5+C13+C14</f>
        <v>1890</v>
      </c>
      <c r="D16" s="21">
        <f t="shared" ref="D16:N16" ca="1" si="1">MAX((D5+D13+D14),0)</f>
        <v>35062.213541999998</v>
      </c>
      <c r="E16" s="21">
        <f t="shared" si="1"/>
        <v>210.94406778662892</v>
      </c>
      <c r="F16" s="21">
        <f t="shared" ca="1" si="1"/>
        <v>2108.7319613377003</v>
      </c>
      <c r="G16" s="21">
        <f t="shared" si="1"/>
        <v>0</v>
      </c>
      <c r="H16" s="21">
        <f t="shared" si="1"/>
        <v>0</v>
      </c>
      <c r="I16" s="21">
        <f t="shared" si="1"/>
        <v>0</v>
      </c>
      <c r="J16" s="21">
        <f t="shared" si="1"/>
        <v>0</v>
      </c>
      <c r="K16" s="21">
        <f t="shared" si="1"/>
        <v>0</v>
      </c>
      <c r="L16" s="21">
        <f t="shared" ca="1" si="1"/>
        <v>0</v>
      </c>
      <c r="M16" s="21">
        <f t="shared" si="1"/>
        <v>0</v>
      </c>
      <c r="N16" s="21">
        <f t="shared" ca="1" si="1"/>
        <v>256.23816778206196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0.2146017870093348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2712.6472780699069</v>
      </c>
      <c r="C20" s="23">
        <f t="shared" ref="C20:P20" ca="1" si="2">C16*C18</f>
        <v>449.15294117647068</v>
      </c>
      <c r="D20" s="23">
        <f t="shared" ca="1" si="2"/>
        <v>7082.5671354839997</v>
      </c>
      <c r="E20" s="23">
        <f t="shared" si="2"/>
        <v>47.884303387564763</v>
      </c>
      <c r="F20" s="23">
        <f t="shared" ca="1" si="2"/>
        <v>563.03143367716598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2931.4259999999999</v>
      </c>
      <c r="C26" s="39">
        <f>IF(ISERROR(B26*3.6/1000000/'E Balans VL '!Z12*100),0,B26*3.6/1000000/'E Balans VL '!Z12*100)</f>
        <v>6.1686998765908614E-2</v>
      </c>
      <c r="D26" s="238" t="s">
        <v>720</v>
      </c>
      <c r="F26" s="6"/>
    </row>
    <row r="27" spans="1:18">
      <c r="A27" s="232" t="s">
        <v>53</v>
      </c>
      <c r="B27" s="33">
        <f>IF(ISERROR(TER_horeca_ele_kWh/1000),0,TER_horeca_ele_kWh/1000)</f>
        <v>1348.1780000000001</v>
      </c>
      <c r="C27" s="39">
        <f>IF(ISERROR(B27*3.6/1000000/'E Balans VL '!Z9*100),0,B27*3.6/1000000/'E Balans VL '!Z9*100)</f>
        <v>0.11414644291490245</v>
      </c>
      <c r="D27" s="238" t="s">
        <v>720</v>
      </c>
      <c r="F27" s="6"/>
    </row>
    <row r="28" spans="1:18">
      <c r="A28" s="172" t="s">
        <v>52</v>
      </c>
      <c r="B28" s="33">
        <f>IF(ISERROR(TER_handel_ele_kWh/1000),0,TER_handel_ele_kWh/1000)</f>
        <v>5029.6610000000001</v>
      </c>
      <c r="C28" s="39">
        <f>IF(ISERROR(B28*3.6/1000000/'E Balans VL '!Z13*100),0,B28*3.6/1000000/'E Balans VL '!Z13*100)</f>
        <v>0.13924546928827669</v>
      </c>
      <c r="D28" s="238" t="s">
        <v>720</v>
      </c>
      <c r="F28" s="6"/>
    </row>
    <row r="29" spans="1:18">
      <c r="A29" s="232" t="s">
        <v>51</v>
      </c>
      <c r="B29" s="33">
        <f>IF(ISERROR(TER_gezond_ele_kWh/1000),0,TER_gezond_ele_kWh/1000)</f>
        <v>740.96400000000006</v>
      </c>
      <c r="C29" s="39">
        <f>IF(ISERROR(B29*3.6/1000000/'E Balans VL '!Z10*100),0,B29*3.6/1000000/'E Balans VL '!Z10*100)</f>
        <v>9.6317105456328655E-2</v>
      </c>
      <c r="D29" s="238" t="s">
        <v>720</v>
      </c>
      <c r="F29" s="6"/>
    </row>
    <row r="30" spans="1:18">
      <c r="A30" s="232" t="s">
        <v>50</v>
      </c>
      <c r="B30" s="33">
        <f>IF(ISERROR(TER_ander_ele_kWh/1000),0,TER_ander_ele_kWh/1000)</f>
        <v>971.68399999999997</v>
      </c>
      <c r="C30" s="39">
        <f>IF(ISERROR(B30*3.6/1000000/'E Balans VL '!Z14*100),0,B30*3.6/1000000/'E Balans VL '!Z14*100)</f>
        <v>7.531442102300212E-2</v>
      </c>
      <c r="D30" s="238" t="s">
        <v>720</v>
      </c>
      <c r="F30" s="6"/>
    </row>
    <row r="31" spans="1:18">
      <c r="A31" s="232" t="s">
        <v>55</v>
      </c>
      <c r="B31" s="33">
        <f>IF(ISERROR(TER_onderwijs_ele_kWh/1000),0,TER_onderwijs_ele_kWh/1000)</f>
        <v>295.46300000000002</v>
      </c>
      <c r="C31" s="39">
        <f>IF(ISERROR(B31*3.6/1000000/'E Balans VL '!Z11*100),0,B31*3.6/1000000/'E Balans VL '!Z11*100)</f>
        <v>5.652710648297745E-2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23" t="s">
        <v>163</v>
      </c>
      <c r="B1" s="1124" t="s">
        <v>196</v>
      </c>
      <c r="C1" s="1125"/>
      <c r="D1" s="1125"/>
      <c r="E1" s="1125"/>
      <c r="F1" s="1125"/>
      <c r="G1" s="1125"/>
      <c r="H1" s="1125"/>
      <c r="I1" s="1125"/>
      <c r="J1" s="1125"/>
      <c r="K1" s="1125"/>
      <c r="L1" s="1125"/>
      <c r="M1" s="1125"/>
      <c r="N1" s="1125"/>
      <c r="O1" s="1125"/>
      <c r="P1" s="1125"/>
      <c r="R1" s="809"/>
    </row>
    <row r="2" spans="1:18" s="317" customFormat="1" ht="15.75" thickTop="1">
      <c r="A2" s="1123"/>
      <c r="B2" s="1126" t="s">
        <v>21</v>
      </c>
      <c r="C2" s="1126" t="s">
        <v>197</v>
      </c>
      <c r="D2" s="1128" t="s">
        <v>198</v>
      </c>
      <c r="E2" s="1129"/>
      <c r="F2" s="1129"/>
      <c r="G2" s="1129"/>
      <c r="H2" s="1129"/>
      <c r="I2" s="1129"/>
      <c r="J2" s="1129"/>
      <c r="K2" s="1130"/>
      <c r="L2" s="1128" t="s">
        <v>199</v>
      </c>
      <c r="M2" s="1129"/>
      <c r="N2" s="1129"/>
      <c r="O2" s="1129"/>
      <c r="P2" s="1130"/>
      <c r="R2" s="809"/>
    </row>
    <row r="3" spans="1:18" s="317"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1994.6569999999999</v>
      </c>
      <c r="C5" s="17">
        <f>IF(ISERROR('Eigen informatie GS &amp; warmtenet'!B59),0,'Eigen informatie GS &amp; warmtenet'!B59)</f>
        <v>0</v>
      </c>
      <c r="D5" s="30">
        <f>SUM(D6:D15)</f>
        <v>1151.8837659999999</v>
      </c>
      <c r="E5" s="17">
        <f>SUM(E6:E15)</f>
        <v>32.471753245847061</v>
      </c>
      <c r="F5" s="17">
        <f>SUM(F6:F15)</f>
        <v>740.69614530826004</v>
      </c>
      <c r="G5" s="18"/>
      <c r="H5" s="17"/>
      <c r="I5" s="17"/>
      <c r="J5" s="17">
        <f>SUM(J6:J15)</f>
        <v>7.1488103953273932</v>
      </c>
      <c r="K5" s="17"/>
      <c r="L5" s="17"/>
      <c r="M5" s="17"/>
      <c r="N5" s="17">
        <f>SUM(N6:N15)</f>
        <v>63.765559240713912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52.116</v>
      </c>
      <c r="C8" s="33"/>
      <c r="D8" s="37">
        <f>IF( ISERROR(IND_metaal_Gas_kWH/1000),0,IND_metaal_Gas_kWH/1000)*0.902</f>
        <v>165.50527399999999</v>
      </c>
      <c r="E8" s="33">
        <f>C30*'E Balans VL '!I18/100/3.6*1000000</f>
        <v>0.36620763312619198</v>
      </c>
      <c r="F8" s="33">
        <f>C30*'E Balans VL '!L18/100/3.6*1000000+C30*'E Balans VL '!N18/100/3.6*1000000</f>
        <v>5.7220318913882906</v>
      </c>
      <c r="G8" s="34"/>
      <c r="H8" s="33"/>
      <c r="I8" s="33"/>
      <c r="J8" s="40">
        <f>C30*'E Balans VL '!D18/100/3.6*1000000+C30*'E Balans VL '!E18/100/3.6*1000000</f>
        <v>1.0752654103976109</v>
      </c>
      <c r="K8" s="33"/>
      <c r="L8" s="33"/>
      <c r="M8" s="33"/>
      <c r="N8" s="33">
        <f>C30*'E Balans VL '!Y18/100/3.6*1000000</f>
        <v>0.19533452139029409</v>
      </c>
      <c r="O8" s="33"/>
      <c r="P8" s="33"/>
      <c r="R8" s="32"/>
    </row>
    <row r="9" spans="1:18">
      <c r="A9" s="6" t="s">
        <v>33</v>
      </c>
      <c r="B9" s="37">
        <f t="shared" si="0"/>
        <v>726.51599999999996</v>
      </c>
      <c r="C9" s="33"/>
      <c r="D9" s="37">
        <f>IF( ISERROR(IND_andere_gas_kWh/1000),0,IND_andere_gas_kWh/1000)*0.902</f>
        <v>504.15846799999997</v>
      </c>
      <c r="E9" s="33">
        <f>C31*'E Balans VL '!I19/100/3.6*1000000</f>
        <v>12.202726230516452</v>
      </c>
      <c r="F9" s="33">
        <f>C31*'E Balans VL '!L19/100/3.6*1000000+C31*'E Balans VL '!N19/100/3.6*1000000</f>
        <v>567.94882953832916</v>
      </c>
      <c r="G9" s="34"/>
      <c r="H9" s="33"/>
      <c r="I9" s="33"/>
      <c r="J9" s="40">
        <f>C31*'E Balans VL '!D19/100/3.6*1000000+C31*'E Balans VL '!E19/100/3.6*1000000</f>
        <v>6.5525329963622023E-2</v>
      </c>
      <c r="K9" s="33"/>
      <c r="L9" s="33"/>
      <c r="M9" s="33"/>
      <c r="N9" s="33">
        <f>C31*'E Balans VL '!Y19/100/3.6*1000000</f>
        <v>53.846491523064373</v>
      </c>
      <c r="O9" s="33"/>
      <c r="P9" s="33"/>
      <c r="R9" s="32"/>
    </row>
    <row r="10" spans="1:18">
      <c r="A10" s="6" t="s">
        <v>41</v>
      </c>
      <c r="B10" s="37">
        <f t="shared" si="0"/>
        <v>607.40800000000002</v>
      </c>
      <c r="C10" s="33"/>
      <c r="D10" s="37">
        <f>IF( ISERROR(IND_voed_gas_kWh/1000),0,IND_voed_gas_kWh/1000)*0.902</f>
        <v>370.58219000000003</v>
      </c>
      <c r="E10" s="33">
        <f>C32*'E Balans VL '!I20/100/3.6*1000000</f>
        <v>5.5417381836177348</v>
      </c>
      <c r="F10" s="33">
        <f>C32*'E Balans VL '!L20/100/3.6*1000000+C32*'E Balans VL '!N20/100/3.6*1000000</f>
        <v>97.993909010402604</v>
      </c>
      <c r="G10" s="34"/>
      <c r="H10" s="33"/>
      <c r="I10" s="33"/>
      <c r="J10" s="40">
        <f>C32*'E Balans VL '!D20/100/3.6*1000000+C32*'E Balans VL '!E20/100/3.6*1000000</f>
        <v>2.5017043799614433</v>
      </c>
      <c r="K10" s="33"/>
      <c r="L10" s="33"/>
      <c r="M10" s="33"/>
      <c r="N10" s="33">
        <f>C32*'E Balans VL '!Y20/100/3.6*1000000</f>
        <v>8.8859000853496273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562.05999999999995</v>
      </c>
      <c r="C12" s="33"/>
      <c r="D12" s="37">
        <f>IF( ISERROR(IND_min_gas_kWh/1000),0,IND_min_gas_kWh/1000)*0.902</f>
        <v>0</v>
      </c>
      <c r="E12" s="33">
        <f>C34*'E Balans VL '!I22/100/3.6*1000000</f>
        <v>13.940915284216477</v>
      </c>
      <c r="F12" s="33">
        <f>C34*'E Balans VL '!L22/100/3.6*1000000+C34*'E Balans VL '!N22/100/3.6*1000000</f>
        <v>59.724256722398088</v>
      </c>
      <c r="G12" s="34"/>
      <c r="H12" s="33"/>
      <c r="I12" s="33"/>
      <c r="J12" s="40">
        <f>C34*'E Balans VL '!D22/100/3.6*1000000+C34*'E Balans VL '!E22/100/3.6*1000000</f>
        <v>3.1928305955633385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46.557000000000002</v>
      </c>
      <c r="C15" s="33"/>
      <c r="D15" s="37">
        <f>IF( ISERROR(IND_rest_gas_kWh/1000),0,IND_rest_gas_kWh/1000)*0.902</f>
        <v>111.637834</v>
      </c>
      <c r="E15" s="33">
        <f>C37*'E Balans VL '!I15/100/3.6*1000000</f>
        <v>0.42016591437021056</v>
      </c>
      <c r="F15" s="33">
        <f>C37*'E Balans VL '!L15/100/3.6*1000000+C37*'E Balans VL '!N15/100/3.6*1000000</f>
        <v>9.3071181457419172</v>
      </c>
      <c r="G15" s="34"/>
      <c r="H15" s="33"/>
      <c r="I15" s="33"/>
      <c r="J15" s="40">
        <f>C37*'E Balans VL '!D15/100/3.6*1000000+C37*'E Balans VL '!E15/100/3.6*1000000</f>
        <v>0.31348467944137903</v>
      </c>
      <c r="K15" s="33"/>
      <c r="L15" s="33"/>
      <c r="M15" s="33"/>
      <c r="N15" s="33">
        <f>C37*'E Balans VL '!Y15/100/3.6*1000000</f>
        <v>0.83783311090962342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1994.6569999999999</v>
      </c>
      <c r="C18" s="21">
        <f>C5+C16</f>
        <v>0</v>
      </c>
      <c r="D18" s="21">
        <f>MAX((D5+D16),0)</f>
        <v>1151.8837659999999</v>
      </c>
      <c r="E18" s="21">
        <f>MAX((E5+E16),0)</f>
        <v>32.471753245847061</v>
      </c>
      <c r="F18" s="21">
        <f>MAX((F5+F16),0)</f>
        <v>740.69614530826004</v>
      </c>
      <c r="G18" s="21"/>
      <c r="H18" s="21"/>
      <c r="I18" s="21"/>
      <c r="J18" s="21">
        <f>MAX((J5+J16),0)</f>
        <v>7.1488103953273932</v>
      </c>
      <c r="K18" s="21"/>
      <c r="L18" s="21">
        <f>MAX((L5+L16),0)</f>
        <v>0</v>
      </c>
      <c r="M18" s="21"/>
      <c r="N18" s="21">
        <f>MAX((N5+N16),0)</f>
        <v>63.765559240713912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0.2146017870093348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428.05695667067869</v>
      </c>
      <c r="C22" s="23">
        <f ca="1">C18*C20</f>
        <v>0</v>
      </c>
      <c r="D22" s="23">
        <f>D18*D20</f>
        <v>232.68052073199999</v>
      </c>
      <c r="E22" s="23">
        <f>E18*E20</f>
        <v>7.3710879868072832</v>
      </c>
      <c r="F22" s="23">
        <f>F18*F20</f>
        <v>197.76587079730544</v>
      </c>
      <c r="G22" s="23"/>
      <c r="H22" s="23"/>
      <c r="I22" s="23"/>
      <c r="J22" s="23">
        <f>J18*J20</f>
        <v>2.530678879945897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52.116</v>
      </c>
      <c r="C30" s="39">
        <f>IF(ISERROR(B30*3.6/1000000/'E Balans VL '!Z18*100),0,B30*3.6/1000000/'E Balans VL '!Z18*100)</f>
        <v>3.4693939446964537E-3</v>
      </c>
      <c r="D30" s="238" t="s">
        <v>720</v>
      </c>
    </row>
    <row r="31" spans="1:18">
      <c r="A31" s="6" t="s">
        <v>33</v>
      </c>
      <c r="B31" s="37">
        <f>IF( ISERROR(IND_ander_ele_kWh/1000),0,IND_ander_ele_kWh/1000)</f>
        <v>726.51599999999996</v>
      </c>
      <c r="C31" s="39">
        <f>IF(ISERROR(B31*3.6/1000000/'E Balans VL '!Z19*100),0,B31*3.6/1000000/'E Balans VL '!Z19*100)</f>
        <v>3.2203575135705022E-2</v>
      </c>
      <c r="D31" s="238" t="s">
        <v>720</v>
      </c>
    </row>
    <row r="32" spans="1:18">
      <c r="A32" s="172" t="s">
        <v>41</v>
      </c>
      <c r="B32" s="37">
        <f>IF( ISERROR(IND_voed_ele_kWh/1000),0,IND_voed_ele_kWh/1000)</f>
        <v>607.40800000000002</v>
      </c>
      <c r="C32" s="39">
        <f>IF(ISERROR(B32*3.6/1000000/'E Balans VL '!Z20*100),0,B32*3.6/1000000/'E Balans VL '!Z20*100)</f>
        <v>2.0289169628037739E-2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562.05999999999995</v>
      </c>
      <c r="C34" s="39">
        <f>IF(ISERROR(B34*3.6/1000000/'E Balans VL '!Z22*100),0,B34*3.6/1000000/'E Balans VL '!Z22*100)</f>
        <v>0.10931449612184446</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46.557000000000002</v>
      </c>
      <c r="C37" s="39">
        <f>IF(ISERROR(B37*3.6/1000000/'E Balans VL '!Z15*100),0,B37*3.6/1000000/'E Balans VL '!Z15*100)</f>
        <v>3.4630823215903302E-4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23" t="s">
        <v>272</v>
      </c>
      <c r="B1" s="1124" t="s">
        <v>196</v>
      </c>
      <c r="C1" s="1125"/>
      <c r="D1" s="1125"/>
      <c r="E1" s="1125"/>
      <c r="F1" s="1125"/>
      <c r="G1" s="1125"/>
      <c r="H1" s="1125"/>
      <c r="I1" s="1125"/>
      <c r="J1" s="1125"/>
      <c r="K1" s="1125"/>
      <c r="L1" s="1125"/>
      <c r="M1" s="1125"/>
      <c r="N1" s="1125"/>
      <c r="O1" s="1125"/>
      <c r="P1" s="1125"/>
    </row>
    <row r="2" spans="1:18" s="317" customFormat="1" ht="15.75" thickTop="1">
      <c r="A2" s="1123"/>
      <c r="B2" s="1126" t="s">
        <v>21</v>
      </c>
      <c r="C2" s="1126" t="s">
        <v>197</v>
      </c>
      <c r="D2" s="1128" t="s">
        <v>198</v>
      </c>
      <c r="E2" s="1129"/>
      <c r="F2" s="1129"/>
      <c r="G2" s="1129"/>
      <c r="H2" s="1129"/>
      <c r="I2" s="1129"/>
      <c r="J2" s="1129"/>
      <c r="K2" s="1130"/>
      <c r="L2" s="1128" t="s">
        <v>199</v>
      </c>
      <c r="M2" s="1129"/>
      <c r="N2" s="1129"/>
      <c r="O2" s="1129"/>
      <c r="P2" s="1130"/>
    </row>
    <row r="3" spans="1:18" s="317"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139.30500000000001</v>
      </c>
      <c r="C5" s="17">
        <f>'Eigen informatie GS &amp; warmtenet'!B60</f>
        <v>0</v>
      </c>
      <c r="D5" s="30">
        <f>IF(ISERROR(SUM(LB_lb_gas_kWh,LB_rest_gas_kWh,onbekend_gas_kWh)/1000),0,SUM(LB_lb_gas_kWh,LB_rest_gas_kWh,onbekend_gas_kWh)/1000)*0.902</f>
        <v>0</v>
      </c>
      <c r="E5" s="17">
        <f>B17*'E Balans VL '!I25/3.6*1000000/100</f>
        <v>1.4588321183026514</v>
      </c>
      <c r="F5" s="17">
        <f>B17*('E Balans VL '!L25/3.6*1000000+'E Balans VL '!N25/3.6*1000000)/100</f>
        <v>715.49266073658441</v>
      </c>
      <c r="G5" s="18"/>
      <c r="H5" s="17"/>
      <c r="I5" s="17"/>
      <c r="J5" s="17">
        <f>('E Balans VL '!D25+'E Balans VL '!E25)/3.6*1000000*landbouw!B17/100</f>
        <v>12.441185112015896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139.30500000000001</v>
      </c>
      <c r="C8" s="21">
        <f>C5+C6</f>
        <v>0</v>
      </c>
      <c r="D8" s="21">
        <f>MAX((D5+D6),0)</f>
        <v>0</v>
      </c>
      <c r="E8" s="21">
        <f>MAX((E5+E6),0)</f>
        <v>1.4588321183026514</v>
      </c>
      <c r="F8" s="21">
        <f>MAX((F5+F6),0)</f>
        <v>715.49266073658441</v>
      </c>
      <c r="G8" s="21"/>
      <c r="H8" s="21"/>
      <c r="I8" s="21"/>
      <c r="J8" s="21">
        <f>MAX((J5+J6),0)</f>
        <v>12.441185112015896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0.2146017870093348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29.895101939335387</v>
      </c>
      <c r="C12" s="23">
        <f ca="1">C8*C10</f>
        <v>0</v>
      </c>
      <c r="D12" s="23">
        <f>D8*D10</f>
        <v>0</v>
      </c>
      <c r="E12" s="23">
        <f>E8*E10</f>
        <v>0.33115489085470184</v>
      </c>
      <c r="F12" s="23">
        <f>F8*F10</f>
        <v>191.03654041666806</v>
      </c>
      <c r="G12" s="23"/>
      <c r="H12" s="23"/>
      <c r="I12" s="23"/>
      <c r="J12" s="23">
        <f>J8*J10</f>
        <v>4.4041795296536268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2.1441728583438416E-2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31" t="s">
        <v>304</v>
      </c>
      <c r="B22" s="1134" t="s">
        <v>305</v>
      </c>
      <c r="C22" s="1134" t="s">
        <v>502</v>
      </c>
    </row>
    <row r="23" spans="1:4">
      <c r="A23" s="1132"/>
      <c r="B23" s="1135"/>
      <c r="C23" s="1135"/>
    </row>
    <row r="24" spans="1:4" ht="15.75" thickBot="1">
      <c r="A24" s="1133"/>
      <c r="B24" s="1136"/>
      <c r="C24" s="1136"/>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11.652552557167086</v>
      </c>
      <c r="C26" s="248">
        <f>B26*'GWP N2O_CH4'!B5</f>
        <v>244.70360370050881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3.3395211004849865</v>
      </c>
      <c r="C27" s="248">
        <f>B27*'GWP N2O_CH4'!B5</f>
        <v>70.129943110184712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0.28325998766196081</v>
      </c>
      <c r="C28" s="248">
        <f>B28*'GWP N2O_CH4'!B4</f>
        <v>87.810596175207849</v>
      </c>
      <c r="D28" s="50"/>
    </row>
    <row r="29" spans="1:4">
      <c r="A29" s="41" t="s">
        <v>278</v>
      </c>
      <c r="B29" s="248">
        <f>B34*'ha_N2O bodem landbouw'!B4</f>
        <v>3.5808308215919156</v>
      </c>
      <c r="C29" s="248">
        <f>B29*'GWP N2O_CH4'!B4</f>
        <v>1110.0575546934938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5.9177932281413367E-4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23" t="s">
        <v>506</v>
      </c>
      <c r="B1" s="1124" t="s">
        <v>559</v>
      </c>
      <c r="C1" s="1125"/>
      <c r="D1" s="1125"/>
      <c r="E1" s="1125"/>
      <c r="F1" s="1125"/>
      <c r="G1" s="1125"/>
      <c r="H1" s="1125"/>
      <c r="I1" s="1125"/>
      <c r="J1" s="1125"/>
      <c r="K1" s="1125"/>
      <c r="L1" s="1125"/>
      <c r="M1" s="1125"/>
      <c r="N1" s="1125"/>
      <c r="O1" s="1125"/>
      <c r="P1" s="1125"/>
    </row>
    <row r="2" spans="1:18" s="317" customFormat="1" ht="15.75" thickTop="1">
      <c r="A2" s="1123"/>
      <c r="B2" s="1126" t="s">
        <v>21</v>
      </c>
      <c r="C2" s="1126" t="s">
        <v>197</v>
      </c>
      <c r="D2" s="1128" t="s">
        <v>198</v>
      </c>
      <c r="E2" s="1129"/>
      <c r="F2" s="1129"/>
      <c r="G2" s="1129"/>
      <c r="H2" s="1129"/>
      <c r="I2" s="1129"/>
      <c r="J2" s="1129"/>
      <c r="K2" s="1130"/>
      <c r="L2" s="1128" t="s">
        <v>199</v>
      </c>
      <c r="M2" s="1129"/>
      <c r="N2" s="1129"/>
      <c r="O2" s="1129"/>
      <c r="P2" s="1130"/>
    </row>
    <row r="3" spans="1:18" s="317" customFormat="1" ht="45">
      <c r="A3" s="1123"/>
      <c r="B3" s="1127"/>
      <c r="C3" s="1127"/>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2.3397403142433146E-6</v>
      </c>
      <c r="C5" s="446" t="s">
        <v>212</v>
      </c>
      <c r="D5" s="431">
        <f>SUM(D6:D11)</f>
        <v>1.2271741376838086E-5</v>
      </c>
      <c r="E5" s="431">
        <f>SUM(E6:E11)</f>
        <v>1.232142412371398E-3</v>
      </c>
      <c r="F5" s="444" t="s">
        <v>212</v>
      </c>
      <c r="G5" s="431">
        <f>SUM(G6:G11)</f>
        <v>0.18575210260550729</v>
      </c>
      <c r="H5" s="431">
        <f>SUM(H6:H11)</f>
        <v>4.0604760198189808E-2</v>
      </c>
      <c r="I5" s="446" t="s">
        <v>212</v>
      </c>
      <c r="J5" s="446" t="s">
        <v>212</v>
      </c>
      <c r="K5" s="446" t="s">
        <v>212</v>
      </c>
      <c r="L5" s="446" t="s">
        <v>212</v>
      </c>
      <c r="M5" s="431">
        <f>SUM(M6:M11)</f>
        <v>9.8997870189306628E-3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1.7012866539544967E-6</v>
      </c>
      <c r="C6" s="432"/>
      <c r="D6" s="432">
        <f>vkm_2011_GW_PW*SUMIFS(TableVerdeelsleutelVkm[CNG],TableVerdeelsleutelVkm[Voertuigtype],"Lichte voertuigen")*SUMIFS(TableECFTransport[EnergieConsumptieFactor (PJ per km)],TableECFTransport[Index],CONCATENATE($A6,"_CNG_CNG"))</f>
        <v>7.3340490078555245E-6</v>
      </c>
      <c r="E6" s="434">
        <f>vkm_2011_GW_PW*SUMIFS(TableVerdeelsleutelVkm[LPG],TableVerdeelsleutelVkm[Voertuigtype],"Lichte voertuigen")*SUMIFS(TableECFTransport[EnergieConsumptieFactor (PJ per km)],TableECFTransport[Index],CONCATENATE($A6,"_LPG_LPG"))</f>
        <v>7.6306279848713688E-4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9.3858819034107616E-2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2.4711082013489757E-2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5.1963015097954163E-3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3.4802172271615146E-2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1.1933182595709573E-5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1.5033886341706947E-3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6.3845366028881763E-7</v>
      </c>
      <c r="C8" s="432"/>
      <c r="D8" s="434">
        <f>vkm_2011_NGW_PW*SUMIFS(TableVerdeelsleutelVkm[CNG],TableVerdeelsleutelVkm[Voertuigtype],"Lichte voertuigen")*SUMIFS(TableECFTransport[EnergieConsumptieFactor (PJ per km)],TableECFTransport[Index],CONCATENATE($A8,"_CNG_CNG"))</f>
        <v>4.9376923689825604E-6</v>
      </c>
      <c r="E8" s="434">
        <f>vkm_2011_NGW_PW*SUMIFS(TableVerdeelsleutelVkm[LPG],TableVerdeelsleutelVkm[Voertuigtype],"Lichte voertuigen")*SUMIFS(TableECFTransport[EnergieConsumptieFactor (PJ per km)],TableECFTransport[Index],CONCATENATE($A8,"_LPG_LPG"))</f>
        <v>4.6907961388426109E-4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5.4725315367887606E-2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1.588104029364824E-2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3.0979038502386108E-3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2.3657959318969359E-3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7.0470845610047375E-7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1.0219302472593997E-4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0.64992786506758737</v>
      </c>
      <c r="C14" s="21"/>
      <c r="D14" s="21">
        <f t="shared" ref="D14:M14" si="0">((D5)*10^9/3600)+D12</f>
        <v>3.4088170491216903</v>
      </c>
      <c r="E14" s="21">
        <f t="shared" si="0"/>
        <v>342.26178121427722</v>
      </c>
      <c r="F14" s="21"/>
      <c r="G14" s="21">
        <f t="shared" si="0"/>
        <v>51597.806279307581</v>
      </c>
      <c r="H14" s="21">
        <f t="shared" si="0"/>
        <v>11279.100055052724</v>
      </c>
      <c r="I14" s="21"/>
      <c r="J14" s="21"/>
      <c r="K14" s="21"/>
      <c r="L14" s="21"/>
      <c r="M14" s="21">
        <f t="shared" si="0"/>
        <v>2749.9408385918505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0.2146017870093348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0.13947568127066606</v>
      </c>
      <c r="C18" s="23"/>
      <c r="D18" s="23">
        <f t="shared" ref="D18:M18" si="1">D14*D16</f>
        <v>0.68858104392258146</v>
      </c>
      <c r="E18" s="23">
        <f t="shared" si="1"/>
        <v>77.693424335640927</v>
      </c>
      <c r="F18" s="23"/>
      <c r="G18" s="23">
        <f t="shared" si="1"/>
        <v>13776.614276575125</v>
      </c>
      <c r="H18" s="23">
        <f t="shared" si="1"/>
        <v>2808.4959137081282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37" t="s">
        <v>507</v>
      </c>
      <c r="B46" s="1138" t="s">
        <v>558</v>
      </c>
      <c r="C46" s="1139"/>
      <c r="D46" s="1139"/>
      <c r="E46" s="1139"/>
      <c r="F46" s="1139"/>
      <c r="G46" s="1139"/>
      <c r="H46" s="1139"/>
      <c r="I46" s="1139"/>
      <c r="J46" s="1139"/>
      <c r="K46" s="1139"/>
      <c r="L46" s="1139"/>
      <c r="M46" s="1139"/>
      <c r="N46" s="1139"/>
      <c r="O46" s="1139"/>
      <c r="P46" s="1139"/>
    </row>
    <row r="47" spans="1:16" s="15" customFormat="1" ht="15.75" thickTop="1">
      <c r="A47" s="1137"/>
      <c r="B47" s="1140" t="s">
        <v>21</v>
      </c>
      <c r="C47" s="1140" t="s">
        <v>197</v>
      </c>
      <c r="D47" s="1142" t="s">
        <v>198</v>
      </c>
      <c r="E47" s="1143"/>
      <c r="F47" s="1143"/>
      <c r="G47" s="1143"/>
      <c r="H47" s="1143"/>
      <c r="I47" s="1143"/>
      <c r="J47" s="1143"/>
      <c r="K47" s="1144"/>
      <c r="L47" s="1142" t="s">
        <v>199</v>
      </c>
      <c r="M47" s="1143"/>
      <c r="N47" s="1143"/>
      <c r="O47" s="1143"/>
      <c r="P47" s="1144"/>
    </row>
    <row r="48" spans="1:16" s="15" customFormat="1" ht="45">
      <c r="A48" s="1137"/>
      <c r="B48" s="1141"/>
      <c r="C48" s="1141"/>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4.9209490250790343E-3</v>
      </c>
      <c r="H50" s="322">
        <f t="shared" si="2"/>
        <v>0</v>
      </c>
      <c r="I50" s="322">
        <f t="shared" si="2"/>
        <v>0</v>
      </c>
      <c r="J50" s="322">
        <f t="shared" si="2"/>
        <v>0</v>
      </c>
      <c r="K50" s="322">
        <f t="shared" si="2"/>
        <v>0</v>
      </c>
      <c r="L50" s="322">
        <f t="shared" si="2"/>
        <v>0</v>
      </c>
      <c r="M50" s="322">
        <f t="shared" si="2"/>
        <v>2.0975867799139341E-4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4.9209490250790343E-3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2.0975867799139341E-4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1366.9302847441761</v>
      </c>
      <c r="H54" s="21">
        <f t="shared" si="3"/>
        <v>0</v>
      </c>
      <c r="I54" s="21">
        <f t="shared" si="3"/>
        <v>0</v>
      </c>
      <c r="J54" s="21">
        <f t="shared" si="3"/>
        <v>0</v>
      </c>
      <c r="K54" s="21">
        <f t="shared" si="3"/>
        <v>0</v>
      </c>
      <c r="L54" s="21">
        <f t="shared" si="3"/>
        <v>0</v>
      </c>
      <c r="M54" s="21">
        <f t="shared" si="3"/>
        <v>58.266299442053722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0.2146017870093348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364.97038602669505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69" t="s">
        <v>242</v>
      </c>
      <c r="B1" s="1169" t="s">
        <v>243</v>
      </c>
      <c r="C1" s="1172" t="s">
        <v>244</v>
      </c>
      <c r="D1" s="1173"/>
      <c r="E1" s="1173"/>
      <c r="F1" s="1173"/>
      <c r="G1" s="1173"/>
      <c r="H1" s="1173"/>
      <c r="I1" s="1173"/>
      <c r="J1" s="1173"/>
      <c r="K1" s="1173"/>
      <c r="L1" s="1174"/>
      <c r="M1" s="1158" t="s">
        <v>245</v>
      </c>
      <c r="N1" s="1157" t="s">
        <v>560</v>
      </c>
      <c r="O1" s="1158"/>
      <c r="Q1" s="1156"/>
      <c r="R1" s="1156"/>
      <c r="S1" s="1156"/>
    </row>
    <row r="2" spans="1:19" s="547" customFormat="1" ht="15.75" thickBot="1">
      <c r="A2" s="1170"/>
      <c r="B2" s="1170"/>
      <c r="C2" s="1193" t="s">
        <v>198</v>
      </c>
      <c r="D2" s="1194"/>
      <c r="E2" s="1194"/>
      <c r="F2" s="1194"/>
      <c r="G2" s="1195"/>
      <c r="H2" s="1196" t="s">
        <v>246</v>
      </c>
      <c r="I2" s="1182" t="s">
        <v>247</v>
      </c>
      <c r="J2" s="1182" t="s">
        <v>235</v>
      </c>
      <c r="K2" s="1182" t="s">
        <v>248</v>
      </c>
      <c r="L2" s="1184" t="s">
        <v>127</v>
      </c>
      <c r="M2" s="1160"/>
      <c r="N2" s="1159"/>
      <c r="O2" s="1160"/>
      <c r="Q2" s="1156"/>
      <c r="R2" s="1156"/>
      <c r="S2" s="1156"/>
    </row>
    <row r="3" spans="1:19" s="547" customFormat="1" ht="53.45" customHeight="1" thickBot="1">
      <c r="A3" s="1171"/>
      <c r="B3" s="1161"/>
      <c r="C3" s="548" t="s">
        <v>200</v>
      </c>
      <c r="D3" s="549" t="s">
        <v>201</v>
      </c>
      <c r="E3" s="550" t="s">
        <v>202</v>
      </c>
      <c r="F3" s="551" t="s">
        <v>204</v>
      </c>
      <c r="G3" s="552" t="s">
        <v>205</v>
      </c>
      <c r="H3" s="1179"/>
      <c r="I3" s="1183"/>
      <c r="J3" s="1183"/>
      <c r="K3" s="1183"/>
      <c r="L3" s="1192"/>
      <c r="M3" s="1162"/>
      <c r="N3" s="1161"/>
      <c r="O3" s="1162"/>
      <c r="Q3" s="1156"/>
      <c r="R3" s="1156"/>
      <c r="S3" s="1156"/>
    </row>
    <row r="4" spans="1:19" s="547" customFormat="1" ht="15.75" thickTop="1">
      <c r="A4" s="553" t="s">
        <v>250</v>
      </c>
      <c r="B4" s="554">
        <f>IF(ISERROR(kWh_wind_land),0,kWh_wind_land)</f>
        <v>0</v>
      </c>
      <c r="C4" s="1200"/>
      <c r="D4" s="1188"/>
      <c r="E4" s="1188"/>
      <c r="F4" s="1203"/>
      <c r="G4" s="1206"/>
      <c r="H4" s="1197"/>
      <c r="I4" s="1188"/>
      <c r="J4" s="1188"/>
      <c r="K4" s="555"/>
      <c r="L4" s="1189"/>
      <c r="M4" s="556"/>
      <c r="N4" s="1163"/>
      <c r="O4" s="1164"/>
      <c r="Q4" s="557"/>
      <c r="R4" s="1153"/>
      <c r="S4" s="1153"/>
    </row>
    <row r="5" spans="1:19" s="547" customFormat="1">
      <c r="A5" s="558" t="s">
        <v>251</v>
      </c>
      <c r="B5" s="554">
        <f>IF(ISERROR(kWh_waterkracht),0,kWh_waterkracht)</f>
        <v>0</v>
      </c>
      <c r="C5" s="1201"/>
      <c r="D5" s="1186"/>
      <c r="E5" s="1186"/>
      <c r="F5" s="1204"/>
      <c r="G5" s="1207"/>
      <c r="H5" s="1198"/>
      <c r="I5" s="1186"/>
      <c r="J5" s="1186"/>
      <c r="K5" s="1186"/>
      <c r="L5" s="1190"/>
      <c r="M5" s="559"/>
      <c r="N5" s="1165"/>
      <c r="O5" s="1166"/>
      <c r="Q5" s="557"/>
      <c r="R5" s="1153"/>
      <c r="S5" s="1153"/>
    </row>
    <row r="6" spans="1:19" s="547" customFormat="1">
      <c r="A6" s="558" t="s">
        <v>252</v>
      </c>
      <c r="B6" s="554">
        <f>IF(ISERROR((kWh_PV_kleiner_dan_10kW+kWh_PV_groter_dan_10kW)),0,(kWh_PV_kleiner_dan_10kW+kWh_PV_groter_dan_10kW))</f>
        <v>1403.3904988560773</v>
      </c>
      <c r="C6" s="1202"/>
      <c r="D6" s="1187"/>
      <c r="E6" s="1187"/>
      <c r="F6" s="1205"/>
      <c r="G6" s="1208"/>
      <c r="H6" s="1199"/>
      <c r="I6" s="1187"/>
      <c r="J6" s="1187"/>
      <c r="K6" s="1187"/>
      <c r="L6" s="1191"/>
      <c r="M6" s="559"/>
      <c r="N6" s="1165"/>
      <c r="O6" s="1166"/>
      <c r="Q6" s="557"/>
      <c r="R6" s="1153"/>
      <c r="S6" s="1153"/>
    </row>
    <row r="7" spans="1:19" s="547" customFormat="1">
      <c r="A7" s="560" t="s">
        <v>253</v>
      </c>
      <c r="B7" s="561">
        <f>N57</f>
        <v>1323</v>
      </c>
      <c r="C7" s="562">
        <f>B100</f>
        <v>1556.4705882352941</v>
      </c>
      <c r="D7" s="563"/>
      <c r="E7" s="563">
        <f>E100</f>
        <v>0</v>
      </c>
      <c r="F7" s="564"/>
      <c r="G7" s="565"/>
      <c r="H7" s="563">
        <f>I100</f>
        <v>0</v>
      </c>
      <c r="I7" s="563">
        <f>G100+F100</f>
        <v>0</v>
      </c>
      <c r="J7" s="563">
        <f>H100+D100+C100</f>
        <v>0</v>
      </c>
      <c r="K7" s="563"/>
      <c r="L7" s="566"/>
      <c r="M7" s="567">
        <f>C7*$C$11+D7*$D$11+E7*$E$11+F7*$F$11+G7*$G$11+H7*$H$11+I7*$I$11+J7*$J$11</f>
        <v>314.40705882352944</v>
      </c>
      <c r="N7" s="1165"/>
      <c r="O7" s="1166"/>
      <c r="Q7" s="557"/>
      <c r="R7" s="1153"/>
      <c r="S7" s="1153"/>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67"/>
      <c r="O8" s="1168"/>
      <c r="P8" s="575"/>
      <c r="Q8" s="557"/>
      <c r="R8" s="1153"/>
      <c r="S8" s="1153"/>
    </row>
    <row r="9" spans="1:19" s="547" customFormat="1" ht="16.5" thickTop="1" thickBot="1">
      <c r="A9" s="576" t="s">
        <v>116</v>
      </c>
      <c r="B9" s="577">
        <f>SUM(B4:B8)</f>
        <v>2726.3904988560771</v>
      </c>
      <c r="C9" s="578">
        <f t="shared" ref="C9:L9" si="0">SUM(C7:C8)</f>
        <v>1556.4705882352941</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314.40705882352944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69" t="s">
        <v>254</v>
      </c>
      <c r="B13" s="1169" t="s">
        <v>255</v>
      </c>
      <c r="C13" s="1172" t="s">
        <v>256</v>
      </c>
      <c r="D13" s="1173"/>
      <c r="E13" s="1173"/>
      <c r="F13" s="1173"/>
      <c r="G13" s="1173"/>
      <c r="H13" s="1173"/>
      <c r="I13" s="1173"/>
      <c r="J13" s="1173"/>
      <c r="K13" s="1173"/>
      <c r="L13" s="1174"/>
      <c r="M13" s="1158" t="s">
        <v>245</v>
      </c>
      <c r="N13" s="1157" t="s">
        <v>257</v>
      </c>
      <c r="O13" s="1158"/>
      <c r="P13" s="1156"/>
      <c r="Q13" s="1156"/>
      <c r="R13" s="1156"/>
    </row>
    <row r="14" spans="1:19" s="547" customFormat="1" ht="15.75" thickBot="1">
      <c r="A14" s="1170"/>
      <c r="B14" s="1170"/>
      <c r="C14" s="1175" t="s">
        <v>198</v>
      </c>
      <c r="D14" s="1176"/>
      <c r="E14" s="1176"/>
      <c r="F14" s="1176"/>
      <c r="G14" s="1177"/>
      <c r="H14" s="1178" t="s">
        <v>246</v>
      </c>
      <c r="I14" s="1178" t="s">
        <v>247</v>
      </c>
      <c r="J14" s="1180" t="s">
        <v>235</v>
      </c>
      <c r="K14" s="1182" t="s">
        <v>258</v>
      </c>
      <c r="L14" s="1184" t="s">
        <v>127</v>
      </c>
      <c r="M14" s="1160"/>
      <c r="N14" s="1159"/>
      <c r="O14" s="1160"/>
      <c r="P14" s="1156"/>
      <c r="Q14" s="1156"/>
      <c r="R14" s="1156"/>
    </row>
    <row r="15" spans="1:19" s="547" customFormat="1" ht="40.700000000000003" customHeight="1" thickBot="1">
      <c r="A15" s="1171"/>
      <c r="B15" s="1171"/>
      <c r="C15" s="589" t="s">
        <v>200</v>
      </c>
      <c r="D15" s="549" t="s">
        <v>201</v>
      </c>
      <c r="E15" s="590" t="s">
        <v>202</v>
      </c>
      <c r="F15" s="549" t="s">
        <v>204</v>
      </c>
      <c r="G15" s="591" t="s">
        <v>205</v>
      </c>
      <c r="H15" s="1179"/>
      <c r="I15" s="1179"/>
      <c r="J15" s="1181"/>
      <c r="K15" s="1183"/>
      <c r="L15" s="1185"/>
      <c r="M15" s="1162"/>
      <c r="N15" s="1161"/>
      <c r="O15" s="1162"/>
      <c r="P15" s="1156"/>
      <c r="Q15" s="1156"/>
      <c r="R15" s="1156"/>
    </row>
    <row r="16" spans="1:19" s="547" customFormat="1" ht="15.75" thickTop="1">
      <c r="A16" s="592" t="s">
        <v>253</v>
      </c>
      <c r="B16" s="593">
        <f>O57</f>
        <v>1890</v>
      </c>
      <c r="C16" s="594">
        <f>B101</f>
        <v>2223.5294117647063</v>
      </c>
      <c r="D16" s="595"/>
      <c r="E16" s="595">
        <f>E101</f>
        <v>0</v>
      </c>
      <c r="F16" s="596"/>
      <c r="G16" s="597"/>
      <c r="H16" s="594">
        <f>I101</f>
        <v>0</v>
      </c>
      <c r="I16" s="595">
        <f>G101+F101</f>
        <v>0</v>
      </c>
      <c r="J16" s="595">
        <f>H101+D101+C101</f>
        <v>0</v>
      </c>
      <c r="K16" s="595"/>
      <c r="L16" s="598"/>
      <c r="M16" s="599">
        <f>C16*$C$21+E16*$E$21+H16*$H$21+I16*$I$21+J16*$J$21+D16*$D$21+F16*$F$21+G16*$G$21+K16*$K$21+L16*$L$21</f>
        <v>449.15294117647068</v>
      </c>
      <c r="N16" s="1148"/>
      <c r="O16" s="1149"/>
      <c r="P16" s="600"/>
      <c r="Q16" s="1150"/>
      <c r="R16" s="1150"/>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51"/>
      <c r="O17" s="1152"/>
      <c r="P17" s="557"/>
      <c r="Q17" s="1153"/>
      <c r="R17" s="1153"/>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54"/>
      <c r="O18" s="1155"/>
      <c r="P18" s="557"/>
      <c r="Q18" s="1153"/>
      <c r="R18" s="1153"/>
    </row>
    <row r="19" spans="1:26" s="547" customFormat="1" ht="16.5" thickTop="1" thickBot="1">
      <c r="A19" s="576" t="s">
        <v>116</v>
      </c>
      <c r="B19" s="577">
        <f>SUM(B16:B18)</f>
        <v>1890</v>
      </c>
      <c r="C19" s="577">
        <f>SUM(C16:C18)</f>
        <v>2223.5294117647063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449.15294117647068</v>
      </c>
      <c r="N19" s="1145"/>
      <c r="O19" s="1146"/>
      <c r="P19" s="557"/>
      <c r="Q19" s="1147"/>
      <c r="R19" s="1147"/>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71034</v>
      </c>
      <c r="C27" s="839">
        <v>3970</v>
      </c>
      <c r="D27" s="656" t="s">
        <v>894</v>
      </c>
      <c r="E27" s="655" t="s">
        <v>895</v>
      </c>
      <c r="F27" s="655" t="s">
        <v>896</v>
      </c>
      <c r="G27" s="655" t="s">
        <v>897</v>
      </c>
      <c r="H27" s="655" t="s">
        <v>898</v>
      </c>
      <c r="I27" s="655" t="s">
        <v>899</v>
      </c>
      <c r="J27" s="838">
        <v>38626</v>
      </c>
      <c r="K27" s="838">
        <v>39417</v>
      </c>
      <c r="L27" s="655" t="s">
        <v>900</v>
      </c>
      <c r="M27" s="655">
        <v>294</v>
      </c>
      <c r="N27" s="655">
        <v>1323</v>
      </c>
      <c r="O27" s="655">
        <v>1890</v>
      </c>
      <c r="P27" s="655">
        <v>3780.0000000000005</v>
      </c>
      <c r="Q27" s="655">
        <v>0</v>
      </c>
      <c r="R27" s="655">
        <v>0</v>
      </c>
      <c r="S27" s="655">
        <v>0</v>
      </c>
      <c r="T27" s="655">
        <v>0</v>
      </c>
      <c r="U27" s="655">
        <v>0</v>
      </c>
      <c r="V27" s="655">
        <v>0</v>
      </c>
      <c r="W27" s="655">
        <v>0</v>
      </c>
      <c r="X27" s="655">
        <v>1300</v>
      </c>
      <c r="Y27" s="655" t="s">
        <v>54</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294</v>
      </c>
      <c r="N57" s="613">
        <f>SUM(N27:N56)</f>
        <v>1323</v>
      </c>
      <c r="O57" s="613">
        <f t="shared" ref="O57:W57" si="2">SUM(O27:O56)</f>
        <v>1890</v>
      </c>
      <c r="P57" s="613">
        <f t="shared" si="2"/>
        <v>3780.0000000000005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294</v>
      </c>
      <c r="N59" s="613">
        <f ca="1">SUMIF($Z$27:AB56,"tertiair",N27:N56)</f>
        <v>1323</v>
      </c>
      <c r="O59" s="613">
        <f ca="1">SUMIF($Z$27:AC56,"tertiair",O27:O56)</f>
        <v>1890</v>
      </c>
      <c r="P59" s="613">
        <f ca="1">SUMIF($Z$27:AD56,"tertiair",P27:P56)</f>
        <v>3780.0000000000005</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1556.4705882352941</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2223.5294117647063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80" t="s">
        <v>222</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6"/>
      <c r="B4" s="456"/>
      <c r="C4" s="63"/>
      <c r="D4" s="63"/>
      <c r="E4" s="63"/>
      <c r="F4" s="63"/>
      <c r="G4" s="63"/>
      <c r="H4" s="63"/>
      <c r="I4" s="63"/>
      <c r="J4" s="63"/>
      <c r="K4" s="63"/>
      <c r="L4" s="63"/>
      <c r="M4" s="63"/>
      <c r="N4" s="63"/>
      <c r="O4" s="63"/>
      <c r="P4" s="63"/>
      <c r="Q4" s="63"/>
      <c r="R4" s="63"/>
    </row>
    <row r="5" spans="1:19" ht="16.5" thickBot="1">
      <c r="A5" s="1082" t="s">
        <v>223</v>
      </c>
      <c r="B5" s="848"/>
      <c r="C5" s="1085" t="s">
        <v>344</v>
      </c>
      <c r="D5" s="1086"/>
      <c r="E5" s="1086"/>
      <c r="F5" s="1086"/>
      <c r="G5" s="1086"/>
      <c r="H5" s="1086"/>
      <c r="I5" s="1086"/>
      <c r="J5" s="1086"/>
      <c r="K5" s="1086"/>
      <c r="L5" s="1086"/>
      <c r="M5" s="1086"/>
      <c r="N5" s="1086"/>
      <c r="O5" s="1086"/>
      <c r="P5" s="1086"/>
      <c r="Q5" s="1086"/>
      <c r="R5" s="1087"/>
    </row>
    <row r="6" spans="1:19" ht="16.5" thickTop="1">
      <c r="A6" s="1083"/>
      <c r="B6" s="849"/>
      <c r="C6" s="1088" t="s">
        <v>21</v>
      </c>
      <c r="D6" s="1090" t="s">
        <v>197</v>
      </c>
      <c r="E6" s="1092" t="s">
        <v>198</v>
      </c>
      <c r="F6" s="1093"/>
      <c r="G6" s="1093"/>
      <c r="H6" s="1093"/>
      <c r="I6" s="1093"/>
      <c r="J6" s="1093"/>
      <c r="K6" s="1093"/>
      <c r="L6" s="1094"/>
      <c r="M6" s="1092" t="s">
        <v>199</v>
      </c>
      <c r="N6" s="1093"/>
      <c r="O6" s="1093"/>
      <c r="P6" s="1093"/>
      <c r="Q6" s="1093"/>
      <c r="R6" s="1095" t="s">
        <v>116</v>
      </c>
    </row>
    <row r="7" spans="1:19" ht="45.75" thickBot="1">
      <c r="A7" s="1084"/>
      <c r="B7" s="850"/>
      <c r="C7" s="1089"/>
      <c r="D7" s="109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96"/>
    </row>
    <row r="8" spans="1:19" ht="18.75" customHeight="1" thickTop="1">
      <c r="A8" s="857" t="s">
        <v>345</v>
      </c>
      <c r="B8" s="862"/>
      <c r="C8" s="1067"/>
      <c r="D8" s="1067"/>
      <c r="E8" s="1067"/>
      <c r="F8" s="1067"/>
      <c r="G8" s="1067"/>
      <c r="H8" s="1067"/>
      <c r="I8" s="1067"/>
      <c r="J8" s="1067"/>
      <c r="K8" s="1067"/>
      <c r="L8" s="1067"/>
      <c r="M8" s="1067"/>
      <c r="N8" s="1067"/>
      <c r="O8" s="1067"/>
      <c r="P8" s="1067"/>
      <c r="Q8" s="106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13456.932999999999</v>
      </c>
      <c r="D10" s="702">
        <f ca="1">tertiair!C16</f>
        <v>1890</v>
      </c>
      <c r="E10" s="702">
        <f ca="1">tertiair!D16</f>
        <v>35062.213541999998</v>
      </c>
      <c r="F10" s="702">
        <f>tertiair!E16</f>
        <v>210.94406778662892</v>
      </c>
      <c r="G10" s="702">
        <f ca="1">tertiair!F16</f>
        <v>2108.7319613377003</v>
      </c>
      <c r="H10" s="702">
        <f>tertiair!G16</f>
        <v>0</v>
      </c>
      <c r="I10" s="702">
        <f>tertiair!H16</f>
        <v>0</v>
      </c>
      <c r="J10" s="702">
        <f>tertiair!I16</f>
        <v>0</v>
      </c>
      <c r="K10" s="702">
        <f>tertiair!J16</f>
        <v>0</v>
      </c>
      <c r="L10" s="702">
        <f>tertiair!K16</f>
        <v>0</v>
      </c>
      <c r="M10" s="702">
        <f ca="1">tertiair!L16</f>
        <v>0</v>
      </c>
      <c r="N10" s="702">
        <f>tertiair!M16</f>
        <v>0</v>
      </c>
      <c r="O10" s="702">
        <f ca="1">tertiair!N16</f>
        <v>256.23816778206196</v>
      </c>
      <c r="P10" s="702">
        <f>tertiair!O16</f>
        <v>0</v>
      </c>
      <c r="Q10" s="703">
        <f>tertiair!P16</f>
        <v>38.133333333333333</v>
      </c>
      <c r="R10" s="705">
        <f ca="1">SUM(C10:Q10)</f>
        <v>53023.194072239719</v>
      </c>
      <c r="S10" s="67"/>
    </row>
    <row r="11" spans="1:19" s="457" customFormat="1">
      <c r="A11" s="858" t="s">
        <v>226</v>
      </c>
      <c r="B11" s="863"/>
      <c r="C11" s="702">
        <f>huishoudens!B8</f>
        <v>29440.597928902785</v>
      </c>
      <c r="D11" s="702">
        <f>huishoudens!C8</f>
        <v>0</v>
      </c>
      <c r="E11" s="702">
        <f>huishoudens!D8</f>
        <v>45126.461072000006</v>
      </c>
      <c r="F11" s="702">
        <f>huishoudens!E8</f>
        <v>2094.0904412816553</v>
      </c>
      <c r="G11" s="702">
        <f>huishoudens!F8</f>
        <v>37956.385415614437</v>
      </c>
      <c r="H11" s="702">
        <f>huishoudens!G8</f>
        <v>0</v>
      </c>
      <c r="I11" s="702">
        <f>huishoudens!H8</f>
        <v>0</v>
      </c>
      <c r="J11" s="702">
        <f>huishoudens!I8</f>
        <v>0</v>
      </c>
      <c r="K11" s="702">
        <f>huishoudens!J8</f>
        <v>0</v>
      </c>
      <c r="L11" s="702">
        <f>huishoudens!K8</f>
        <v>0</v>
      </c>
      <c r="M11" s="702">
        <f>huishoudens!L8</f>
        <v>0</v>
      </c>
      <c r="N11" s="702">
        <f>huishoudens!M8</f>
        <v>0</v>
      </c>
      <c r="O11" s="702">
        <f>huishoudens!N8</f>
        <v>6328.2070392803407</v>
      </c>
      <c r="P11" s="702">
        <f>huishoudens!O8</f>
        <v>78.166666666666671</v>
      </c>
      <c r="Q11" s="703">
        <f>huishoudens!P8</f>
        <v>152.53333333333333</v>
      </c>
      <c r="R11" s="705">
        <f>SUM(C11:Q11)</f>
        <v>121176.44189707925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1994.6569999999999</v>
      </c>
      <c r="D13" s="702">
        <f>industrie!C18</f>
        <v>0</v>
      </c>
      <c r="E13" s="702">
        <f>industrie!D18</f>
        <v>1151.8837659999999</v>
      </c>
      <c r="F13" s="702">
        <f>industrie!E18</f>
        <v>32.471753245847061</v>
      </c>
      <c r="G13" s="702">
        <f>industrie!F18</f>
        <v>740.69614530826004</v>
      </c>
      <c r="H13" s="702">
        <f>industrie!G18</f>
        <v>0</v>
      </c>
      <c r="I13" s="702">
        <f>industrie!H18</f>
        <v>0</v>
      </c>
      <c r="J13" s="702">
        <f>industrie!I18</f>
        <v>0</v>
      </c>
      <c r="K13" s="702">
        <f>industrie!J18</f>
        <v>7.1488103953273932</v>
      </c>
      <c r="L13" s="702">
        <f>industrie!K18</f>
        <v>0</v>
      </c>
      <c r="M13" s="702">
        <f>industrie!L18</f>
        <v>0</v>
      </c>
      <c r="N13" s="702">
        <f>industrie!M18</f>
        <v>0</v>
      </c>
      <c r="O13" s="702">
        <f>industrie!N18</f>
        <v>63.765559240713912</v>
      </c>
      <c r="P13" s="702">
        <f>industrie!O18</f>
        <v>0</v>
      </c>
      <c r="Q13" s="703">
        <f>industrie!P18</f>
        <v>0</v>
      </c>
      <c r="R13" s="705">
        <f>SUM(C13:Q13)</f>
        <v>3990.6230341901487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44892.187928902786</v>
      </c>
      <c r="D15" s="707">
        <f t="shared" ref="D15:Q15" ca="1" si="0">SUM(D9:D14)</f>
        <v>1890</v>
      </c>
      <c r="E15" s="707">
        <f t="shared" ca="1" si="0"/>
        <v>81340.558380000002</v>
      </c>
      <c r="F15" s="707">
        <f t="shared" si="0"/>
        <v>2337.5062623141312</v>
      </c>
      <c r="G15" s="707">
        <f t="shared" ca="1" si="0"/>
        <v>40805.813522260403</v>
      </c>
      <c r="H15" s="707">
        <f t="shared" si="0"/>
        <v>0</v>
      </c>
      <c r="I15" s="707">
        <f t="shared" si="0"/>
        <v>0</v>
      </c>
      <c r="J15" s="707">
        <f t="shared" si="0"/>
        <v>0</v>
      </c>
      <c r="K15" s="707">
        <f t="shared" si="0"/>
        <v>7.1488103953273932</v>
      </c>
      <c r="L15" s="707">
        <f t="shared" si="0"/>
        <v>0</v>
      </c>
      <c r="M15" s="707">
        <f t="shared" ca="1" si="0"/>
        <v>0</v>
      </c>
      <c r="N15" s="707">
        <f t="shared" si="0"/>
        <v>0</v>
      </c>
      <c r="O15" s="707">
        <f t="shared" ca="1" si="0"/>
        <v>6648.2107663031165</v>
      </c>
      <c r="P15" s="707">
        <f t="shared" si="0"/>
        <v>78.166666666666671</v>
      </c>
      <c r="Q15" s="708">
        <f t="shared" si="0"/>
        <v>190.66666666666666</v>
      </c>
      <c r="R15" s="709">
        <f ca="1">SUM(R9:R14)</f>
        <v>178190.25900350913</v>
      </c>
      <c r="S15" s="67"/>
    </row>
    <row r="16" spans="1:19" s="457" customFormat="1" ht="15.75">
      <c r="A16" s="860" t="s">
        <v>228</v>
      </c>
      <c r="B16" s="752"/>
      <c r="C16" s="1068"/>
      <c r="D16" s="1068"/>
      <c r="E16" s="1068"/>
      <c r="F16" s="1068"/>
      <c r="G16" s="1068"/>
      <c r="H16" s="1068"/>
      <c r="I16" s="1068"/>
      <c r="J16" s="1068"/>
      <c r="K16" s="1068"/>
      <c r="L16" s="1068"/>
      <c r="M16" s="1068"/>
      <c r="N16" s="1068"/>
      <c r="O16" s="1068"/>
      <c r="P16" s="1068"/>
      <c r="Q16" s="106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1366.9302847441761</v>
      </c>
      <c r="I18" s="702">
        <f>transport!H54</f>
        <v>0</v>
      </c>
      <c r="J18" s="702">
        <f>transport!I54</f>
        <v>0</v>
      </c>
      <c r="K18" s="702">
        <f>transport!J54</f>
        <v>0</v>
      </c>
      <c r="L18" s="702">
        <f>transport!K54</f>
        <v>0</v>
      </c>
      <c r="M18" s="702">
        <f>transport!L54</f>
        <v>0</v>
      </c>
      <c r="N18" s="702">
        <f>transport!M54</f>
        <v>58.266299442053722</v>
      </c>
      <c r="O18" s="702">
        <f>transport!N54</f>
        <v>0</v>
      </c>
      <c r="P18" s="702">
        <f>transport!O54</f>
        <v>0</v>
      </c>
      <c r="Q18" s="703">
        <f>transport!P54</f>
        <v>0</v>
      </c>
      <c r="R18" s="705">
        <f>SUM(C18:Q18)</f>
        <v>1425.1965841862298</v>
      </c>
      <c r="S18" s="67"/>
    </row>
    <row r="19" spans="1:19" s="457" customFormat="1" ht="15" thickBot="1">
      <c r="A19" s="858" t="s">
        <v>308</v>
      </c>
      <c r="B19" s="863"/>
      <c r="C19" s="711">
        <f>transport!B14</f>
        <v>0.64992786506758737</v>
      </c>
      <c r="D19" s="711">
        <f>transport!C14</f>
        <v>0</v>
      </c>
      <c r="E19" s="711">
        <f>transport!D14</f>
        <v>3.4088170491216903</v>
      </c>
      <c r="F19" s="711">
        <f>transport!E14</f>
        <v>342.26178121427722</v>
      </c>
      <c r="G19" s="711">
        <f>transport!F14</f>
        <v>0</v>
      </c>
      <c r="H19" s="711">
        <f>transport!G14</f>
        <v>51597.806279307581</v>
      </c>
      <c r="I19" s="711">
        <f>transport!H14</f>
        <v>11279.100055052724</v>
      </c>
      <c r="J19" s="711">
        <f>transport!I14</f>
        <v>0</v>
      </c>
      <c r="K19" s="711">
        <f>transport!J14</f>
        <v>0</v>
      </c>
      <c r="L19" s="711">
        <f>transport!K14</f>
        <v>0</v>
      </c>
      <c r="M19" s="711">
        <f>transport!L14</f>
        <v>0</v>
      </c>
      <c r="N19" s="711">
        <f>transport!M14</f>
        <v>2749.9408385918505</v>
      </c>
      <c r="O19" s="711">
        <f>transport!N14</f>
        <v>0</v>
      </c>
      <c r="P19" s="711">
        <f>transport!O14</f>
        <v>0</v>
      </c>
      <c r="Q19" s="712">
        <f>transport!P14</f>
        <v>0</v>
      </c>
      <c r="R19" s="713">
        <f>SUM(C19:Q19)</f>
        <v>65973.16769908063</v>
      </c>
      <c r="S19" s="67"/>
    </row>
    <row r="20" spans="1:19" s="457" customFormat="1" ht="15.75" thickBot="1">
      <c r="A20" s="714" t="s">
        <v>231</v>
      </c>
      <c r="B20" s="866"/>
      <c r="C20" s="861">
        <f>SUM(C17:C19)</f>
        <v>0.64992786506758737</v>
      </c>
      <c r="D20" s="715">
        <f t="shared" ref="D20:R20" si="1">SUM(D17:D19)</f>
        <v>0</v>
      </c>
      <c r="E20" s="715">
        <f t="shared" si="1"/>
        <v>3.4088170491216903</v>
      </c>
      <c r="F20" s="715">
        <f t="shared" si="1"/>
        <v>342.26178121427722</v>
      </c>
      <c r="G20" s="715">
        <f t="shared" si="1"/>
        <v>0</v>
      </c>
      <c r="H20" s="715">
        <f t="shared" si="1"/>
        <v>52964.73656405176</v>
      </c>
      <c r="I20" s="715">
        <f t="shared" si="1"/>
        <v>11279.100055052724</v>
      </c>
      <c r="J20" s="715">
        <f t="shared" si="1"/>
        <v>0</v>
      </c>
      <c r="K20" s="715">
        <f t="shared" si="1"/>
        <v>0</v>
      </c>
      <c r="L20" s="715">
        <f t="shared" si="1"/>
        <v>0</v>
      </c>
      <c r="M20" s="715">
        <f t="shared" si="1"/>
        <v>0</v>
      </c>
      <c r="N20" s="715">
        <f t="shared" si="1"/>
        <v>2808.2071380339044</v>
      </c>
      <c r="O20" s="715">
        <f t="shared" si="1"/>
        <v>0</v>
      </c>
      <c r="P20" s="715">
        <f t="shared" si="1"/>
        <v>0</v>
      </c>
      <c r="Q20" s="716">
        <f t="shared" si="1"/>
        <v>0</v>
      </c>
      <c r="R20" s="717">
        <f t="shared" si="1"/>
        <v>67398.364283266856</v>
      </c>
      <c r="S20" s="67"/>
    </row>
    <row r="21" spans="1:19" s="457" customFormat="1" ht="15.75">
      <c r="A21" s="860" t="s">
        <v>238</v>
      </c>
      <c r="B21" s="752"/>
      <c r="C21" s="1068"/>
      <c r="D21" s="1068"/>
      <c r="E21" s="1068"/>
      <c r="F21" s="1068"/>
      <c r="G21" s="1068"/>
      <c r="H21" s="1068"/>
      <c r="I21" s="1068"/>
      <c r="J21" s="1068"/>
      <c r="K21" s="1068"/>
      <c r="L21" s="1068"/>
      <c r="M21" s="1068"/>
      <c r="N21" s="1068"/>
      <c r="O21" s="1068"/>
      <c r="P21" s="1068"/>
      <c r="Q21" s="1068"/>
      <c r="R21" s="710"/>
      <c r="S21" s="67"/>
    </row>
    <row r="22" spans="1:19" s="457" customFormat="1" ht="15" thickBot="1">
      <c r="A22" s="858" t="s">
        <v>652</v>
      </c>
      <c r="B22" s="867"/>
      <c r="C22" s="711">
        <f>+landbouw!B8</f>
        <v>139.30500000000001</v>
      </c>
      <c r="D22" s="711">
        <f>+landbouw!C8</f>
        <v>0</v>
      </c>
      <c r="E22" s="711">
        <f>+landbouw!D8</f>
        <v>0</v>
      </c>
      <c r="F22" s="711">
        <f>+landbouw!E8</f>
        <v>1.4588321183026514</v>
      </c>
      <c r="G22" s="711">
        <f>+landbouw!F8</f>
        <v>715.49266073658441</v>
      </c>
      <c r="H22" s="711">
        <f>+landbouw!G8</f>
        <v>0</v>
      </c>
      <c r="I22" s="711">
        <f>+landbouw!H8</f>
        <v>0</v>
      </c>
      <c r="J22" s="711">
        <f>+landbouw!I8</f>
        <v>0</v>
      </c>
      <c r="K22" s="711">
        <f>+landbouw!J8</f>
        <v>12.441185112015896</v>
      </c>
      <c r="L22" s="711">
        <f>+landbouw!K8</f>
        <v>0</v>
      </c>
      <c r="M22" s="711">
        <f>+landbouw!L8</f>
        <v>0</v>
      </c>
      <c r="N22" s="711">
        <f>+landbouw!M8</f>
        <v>0</v>
      </c>
      <c r="O22" s="711">
        <f>+landbouw!N8</f>
        <v>0</v>
      </c>
      <c r="P22" s="711">
        <f>+landbouw!O8</f>
        <v>0</v>
      </c>
      <c r="Q22" s="712">
        <f>+landbouw!P8</f>
        <v>0</v>
      </c>
      <c r="R22" s="713">
        <f>SUM(C22:Q22)</f>
        <v>868.69767796690292</v>
      </c>
      <c r="S22" s="67"/>
    </row>
    <row r="23" spans="1:19" s="457" customFormat="1" ht="17.25" thickTop="1" thickBot="1">
      <c r="A23" s="718" t="s">
        <v>116</v>
      </c>
      <c r="B23" s="852"/>
      <c r="C23" s="719">
        <f ca="1">C20+C15+C22</f>
        <v>45032.142856767852</v>
      </c>
      <c r="D23" s="719">
        <f t="shared" ref="D23:Q23" ca="1" si="2">D20+D15+D22</f>
        <v>1890</v>
      </c>
      <c r="E23" s="719">
        <f t="shared" ca="1" si="2"/>
        <v>81343.967197049118</v>
      </c>
      <c r="F23" s="719">
        <f t="shared" si="2"/>
        <v>2681.2268756467111</v>
      </c>
      <c r="G23" s="719">
        <f t="shared" ca="1" si="2"/>
        <v>41521.306182996988</v>
      </c>
      <c r="H23" s="719">
        <f t="shared" si="2"/>
        <v>52964.73656405176</v>
      </c>
      <c r="I23" s="719">
        <f t="shared" si="2"/>
        <v>11279.100055052724</v>
      </c>
      <c r="J23" s="719">
        <f t="shared" si="2"/>
        <v>0</v>
      </c>
      <c r="K23" s="719">
        <f t="shared" si="2"/>
        <v>19.589995507343289</v>
      </c>
      <c r="L23" s="719">
        <f t="shared" si="2"/>
        <v>0</v>
      </c>
      <c r="M23" s="719">
        <f t="shared" ca="1" si="2"/>
        <v>0</v>
      </c>
      <c r="N23" s="719">
        <f t="shared" si="2"/>
        <v>2808.2071380339044</v>
      </c>
      <c r="O23" s="719">
        <f t="shared" ca="1" si="2"/>
        <v>6648.2107663031165</v>
      </c>
      <c r="P23" s="719">
        <f t="shared" si="2"/>
        <v>78.166666666666671</v>
      </c>
      <c r="Q23" s="720">
        <f t="shared" si="2"/>
        <v>190.66666666666666</v>
      </c>
      <c r="R23" s="721">
        <f ca="1">R20+R15+R22</f>
        <v>246457.32096474289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69"/>
      <c r="B27" s="1069"/>
      <c r="C27" s="106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8"/>
      <c r="B29" s="1018"/>
      <c r="C29" s="1018"/>
      <c r="D29" s="1018"/>
      <c r="E29" s="1018"/>
      <c r="F29" s="1018"/>
      <c r="G29" s="1018"/>
      <c r="H29" s="1018"/>
      <c r="I29" s="1018"/>
      <c r="J29" s="1018"/>
      <c r="K29" s="1018"/>
      <c r="L29" s="1018"/>
      <c r="M29" s="1018"/>
      <c r="N29" s="1018"/>
      <c r="O29" s="1018"/>
      <c r="P29" s="1018"/>
      <c r="Q29" s="1018"/>
      <c r="R29" s="1018"/>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70"/>
      <c r="B31" s="870"/>
      <c r="C31" s="1072" t="s">
        <v>348</v>
      </c>
      <c r="D31" s="1073"/>
      <c r="E31" s="1073"/>
      <c r="F31" s="1073"/>
      <c r="G31" s="1073"/>
      <c r="H31" s="1073"/>
      <c r="I31" s="1073"/>
      <c r="J31" s="1073"/>
      <c r="K31" s="1073"/>
      <c r="L31" s="1073"/>
      <c r="M31" s="1073"/>
      <c r="N31" s="1073"/>
      <c r="O31" s="1073"/>
      <c r="P31" s="1073"/>
      <c r="Q31" s="1073"/>
      <c r="R31" s="1074"/>
    </row>
    <row r="32" spans="1:19" ht="16.5" thickTop="1">
      <c r="A32" s="1071"/>
      <c r="B32" s="871"/>
      <c r="C32" s="1075" t="s">
        <v>21</v>
      </c>
      <c r="D32" s="1035" t="s">
        <v>233</v>
      </c>
      <c r="E32" s="1077" t="s">
        <v>198</v>
      </c>
      <c r="F32" s="1078"/>
      <c r="G32" s="1078"/>
      <c r="H32" s="1078"/>
      <c r="I32" s="1078"/>
      <c r="J32" s="1078"/>
      <c r="K32" s="1078"/>
      <c r="L32" s="1079"/>
      <c r="M32" s="1077" t="s">
        <v>199</v>
      </c>
      <c r="N32" s="1078"/>
      <c r="O32" s="1078"/>
      <c r="P32" s="1078"/>
      <c r="Q32" s="1078"/>
      <c r="R32" s="1019" t="s">
        <v>116</v>
      </c>
    </row>
    <row r="33" spans="1:18" ht="45.75" thickBot="1">
      <c r="A33" s="1071"/>
      <c r="B33" s="871"/>
      <c r="C33" s="1076"/>
      <c r="D33" s="1038"/>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1"/>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2887.881869464888</v>
      </c>
      <c r="D36" s="702">
        <f ca="1">tertiair!C20</f>
        <v>449.15294117647068</v>
      </c>
      <c r="E36" s="702">
        <f ca="1">tertiair!D20</f>
        <v>7082.5671354839997</v>
      </c>
      <c r="F36" s="702">
        <f>tertiair!E20</f>
        <v>47.884303387564763</v>
      </c>
      <c r="G36" s="702">
        <f ca="1">tertiair!F20</f>
        <v>563.03143367716598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11030.51768319009</v>
      </c>
    </row>
    <row r="37" spans="1:18">
      <c r="A37" s="873" t="s">
        <v>226</v>
      </c>
      <c r="B37" s="880"/>
      <c r="C37" s="702">
        <f ca="1">huishoudens!B12</f>
        <v>6318.0049261658587</v>
      </c>
      <c r="D37" s="702">
        <f ca="1">huishoudens!C12</f>
        <v>0</v>
      </c>
      <c r="E37" s="702">
        <f>huishoudens!D12</f>
        <v>9115.5451365440022</v>
      </c>
      <c r="F37" s="702">
        <f>huishoudens!E12</f>
        <v>475.35853017093575</v>
      </c>
      <c r="G37" s="702">
        <f>huishoudens!F12</f>
        <v>10134.354905969056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26043.263498849854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428.05695667067869</v>
      </c>
      <c r="D39" s="702">
        <f ca="1">industrie!C22</f>
        <v>0</v>
      </c>
      <c r="E39" s="702">
        <f>industrie!D22</f>
        <v>232.68052073199999</v>
      </c>
      <c r="F39" s="702">
        <f>industrie!E22</f>
        <v>7.3710879868072832</v>
      </c>
      <c r="G39" s="702">
        <f>industrie!F22</f>
        <v>197.76587079730544</v>
      </c>
      <c r="H39" s="702">
        <f>industrie!G22</f>
        <v>0</v>
      </c>
      <c r="I39" s="702">
        <f>industrie!H22</f>
        <v>0</v>
      </c>
      <c r="J39" s="702">
        <f>industrie!I22</f>
        <v>0</v>
      </c>
      <c r="K39" s="702">
        <f>industrie!J22</f>
        <v>2.530678879945897</v>
      </c>
      <c r="L39" s="702">
        <f>industrie!K22</f>
        <v>0</v>
      </c>
      <c r="M39" s="702">
        <f>industrie!L22</f>
        <v>0</v>
      </c>
      <c r="N39" s="702">
        <f>industrie!M22</f>
        <v>0</v>
      </c>
      <c r="O39" s="702">
        <f>industrie!N22</f>
        <v>0</v>
      </c>
      <c r="P39" s="702">
        <f>industrie!O22</f>
        <v>0</v>
      </c>
      <c r="Q39" s="812">
        <f>industrie!P22</f>
        <v>0</v>
      </c>
      <c r="R39" s="906">
        <f ca="1">SUM(C39:Q39)</f>
        <v>868.40511506673727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9633.9437523014258</v>
      </c>
      <c r="D41" s="747">
        <f t="shared" ref="D41:R41" ca="1" si="4">SUM(D35:D40)</f>
        <v>449.15294117647068</v>
      </c>
      <c r="E41" s="747">
        <f t="shared" ca="1" si="4"/>
        <v>16430.792792760003</v>
      </c>
      <c r="F41" s="747">
        <f t="shared" si="4"/>
        <v>530.61392154530779</v>
      </c>
      <c r="G41" s="747">
        <f t="shared" ca="1" si="4"/>
        <v>10895.152210443528</v>
      </c>
      <c r="H41" s="747">
        <f t="shared" si="4"/>
        <v>0</v>
      </c>
      <c r="I41" s="747">
        <f t="shared" si="4"/>
        <v>0</v>
      </c>
      <c r="J41" s="747">
        <f t="shared" si="4"/>
        <v>0</v>
      </c>
      <c r="K41" s="747">
        <f t="shared" si="4"/>
        <v>2.530678879945897</v>
      </c>
      <c r="L41" s="747">
        <f t="shared" si="4"/>
        <v>0</v>
      </c>
      <c r="M41" s="747">
        <f t="shared" ca="1" si="4"/>
        <v>0</v>
      </c>
      <c r="N41" s="747">
        <f t="shared" si="4"/>
        <v>0</v>
      </c>
      <c r="O41" s="747">
        <f t="shared" ca="1" si="4"/>
        <v>0</v>
      </c>
      <c r="P41" s="747">
        <f t="shared" si="4"/>
        <v>0</v>
      </c>
      <c r="Q41" s="748">
        <f t="shared" si="4"/>
        <v>0</v>
      </c>
      <c r="R41" s="749">
        <f t="shared" ca="1" si="4"/>
        <v>37942.18629710668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364.97038602669505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364.97038602669505</v>
      </c>
    </row>
    <row r="45" spans="1:18" ht="15" thickBot="1">
      <c r="A45" s="876" t="s">
        <v>308</v>
      </c>
      <c r="B45" s="886"/>
      <c r="C45" s="711">
        <f ca="1">transport!B18</f>
        <v>0.13947568127066606</v>
      </c>
      <c r="D45" s="711">
        <f>transport!C18</f>
        <v>0</v>
      </c>
      <c r="E45" s="711">
        <f>transport!D18</f>
        <v>0.68858104392258146</v>
      </c>
      <c r="F45" s="711">
        <f>transport!E18</f>
        <v>77.693424335640927</v>
      </c>
      <c r="G45" s="711">
        <f>transport!F18</f>
        <v>0</v>
      </c>
      <c r="H45" s="711">
        <f>transport!G18</f>
        <v>13776.614276575125</v>
      </c>
      <c r="I45" s="711">
        <f>transport!H18</f>
        <v>2808.4959137081282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16663.631671344086</v>
      </c>
    </row>
    <row r="46" spans="1:18" ht="15.75" thickBot="1">
      <c r="A46" s="874" t="s">
        <v>231</v>
      </c>
      <c r="B46" s="887"/>
      <c r="C46" s="747">
        <f t="shared" ref="C46:R46" ca="1" si="5">SUM(C43:C45)</f>
        <v>0.13947568127066606</v>
      </c>
      <c r="D46" s="747">
        <f t="shared" ca="1" si="5"/>
        <v>0</v>
      </c>
      <c r="E46" s="747">
        <f t="shared" si="5"/>
        <v>0.68858104392258146</v>
      </c>
      <c r="F46" s="747">
        <f t="shared" si="5"/>
        <v>77.693424335640927</v>
      </c>
      <c r="G46" s="747">
        <f t="shared" si="5"/>
        <v>0</v>
      </c>
      <c r="H46" s="747">
        <f t="shared" si="5"/>
        <v>14141.584662601819</v>
      </c>
      <c r="I46" s="747">
        <f t="shared" si="5"/>
        <v>2808.4959137081282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17028.602057370783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29.895101939335387</v>
      </c>
      <c r="D48" s="702">
        <f ca="1">+landbouw!C12</f>
        <v>0</v>
      </c>
      <c r="E48" s="702">
        <f>+landbouw!D12</f>
        <v>0</v>
      </c>
      <c r="F48" s="702">
        <f>+landbouw!E12</f>
        <v>0.33115489085470184</v>
      </c>
      <c r="G48" s="702">
        <f>+landbouw!F12</f>
        <v>191.03654041666806</v>
      </c>
      <c r="H48" s="702">
        <f>+landbouw!G12</f>
        <v>0</v>
      </c>
      <c r="I48" s="702">
        <f>+landbouw!H12</f>
        <v>0</v>
      </c>
      <c r="J48" s="702">
        <f>+landbouw!I12</f>
        <v>0</v>
      </c>
      <c r="K48" s="702">
        <f>+landbouw!J12</f>
        <v>4.4041795296536268</v>
      </c>
      <c r="L48" s="702">
        <f>+landbouw!K12</f>
        <v>0</v>
      </c>
      <c r="M48" s="702">
        <f>+landbouw!L12</f>
        <v>0</v>
      </c>
      <c r="N48" s="702">
        <f>+landbouw!M12</f>
        <v>0</v>
      </c>
      <c r="O48" s="702">
        <f>+landbouw!N12</f>
        <v>0</v>
      </c>
      <c r="P48" s="702">
        <f>+landbouw!O12</f>
        <v>0</v>
      </c>
      <c r="Q48" s="703">
        <f>+landbouw!P12</f>
        <v>0</v>
      </c>
      <c r="R48" s="745">
        <f ca="1">SUM(C48:Q48)</f>
        <v>225.66697677651177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50"/>
      <c r="D50" s="1051"/>
      <c r="E50" s="1051"/>
      <c r="F50" s="1051"/>
      <c r="G50" s="1051"/>
      <c r="H50" s="1051"/>
      <c r="I50" s="1051"/>
      <c r="J50" s="1051"/>
      <c r="K50" s="1051"/>
      <c r="L50" s="1051"/>
      <c r="M50" s="1051"/>
      <c r="N50" s="1051"/>
      <c r="O50" s="1051"/>
      <c r="P50" s="1051"/>
      <c r="Q50" s="1051"/>
      <c r="R50" s="754"/>
    </row>
    <row r="51" spans="1:18" ht="15">
      <c r="A51" s="878" t="s">
        <v>240</v>
      </c>
      <c r="B51" s="863"/>
      <c r="C51" s="1052"/>
      <c r="D51" s="1053"/>
      <c r="E51" s="1053"/>
      <c r="F51" s="1053"/>
      <c r="G51" s="1053"/>
      <c r="H51" s="1053"/>
      <c r="I51" s="1053"/>
      <c r="J51" s="1053"/>
      <c r="K51" s="1053"/>
      <c r="L51" s="1053"/>
      <c r="M51" s="1053"/>
      <c r="N51" s="1053"/>
      <c r="O51" s="1053"/>
      <c r="P51" s="1053"/>
      <c r="Q51" s="1053"/>
      <c r="R51" s="755"/>
    </row>
    <row r="52" spans="1:18" ht="15" thickBot="1">
      <c r="A52" s="890" t="s">
        <v>241</v>
      </c>
      <c r="B52" s="891"/>
      <c r="C52" s="1052"/>
      <c r="D52" s="1053"/>
      <c r="E52" s="1053"/>
      <c r="F52" s="1053"/>
      <c r="G52" s="1053"/>
      <c r="H52" s="1053"/>
      <c r="I52" s="1053"/>
      <c r="J52" s="1053"/>
      <c r="K52" s="1053"/>
      <c r="L52" s="1053"/>
      <c r="M52" s="1053"/>
      <c r="N52" s="1053"/>
      <c r="O52" s="1053"/>
      <c r="P52" s="1053"/>
      <c r="Q52" s="1053"/>
      <c r="R52" s="746"/>
    </row>
    <row r="53" spans="1:18" ht="16.5" thickBot="1">
      <c r="A53" s="894" t="s">
        <v>116</v>
      </c>
      <c r="B53" s="895"/>
      <c r="C53" s="756">
        <f ca="1">C41+C46+C48</f>
        <v>9663.9783299220326</v>
      </c>
      <c r="D53" s="757">
        <f t="shared" ref="D53:Q53" ca="1" si="6">D41+D46+D48</f>
        <v>449.15294117647068</v>
      </c>
      <c r="E53" s="757">
        <f t="shared" ca="1" si="6"/>
        <v>16431.481373803927</v>
      </c>
      <c r="F53" s="757">
        <f t="shared" si="6"/>
        <v>608.63850077180336</v>
      </c>
      <c r="G53" s="757">
        <f t="shared" ca="1" si="6"/>
        <v>11086.188750860196</v>
      </c>
      <c r="H53" s="757">
        <f t="shared" si="6"/>
        <v>14141.584662601819</v>
      </c>
      <c r="I53" s="757">
        <f t="shared" si="6"/>
        <v>2808.4959137081282</v>
      </c>
      <c r="J53" s="757">
        <f t="shared" si="6"/>
        <v>0</v>
      </c>
      <c r="K53" s="757">
        <f t="shared" si="6"/>
        <v>6.9348584095995243</v>
      </c>
      <c r="L53" s="757">
        <f t="shared" si="6"/>
        <v>0</v>
      </c>
      <c r="M53" s="757">
        <f t="shared" ca="1" si="6"/>
        <v>0</v>
      </c>
      <c r="N53" s="757">
        <f t="shared" si="6"/>
        <v>0</v>
      </c>
      <c r="O53" s="757">
        <f t="shared" ca="1" si="6"/>
        <v>0</v>
      </c>
      <c r="P53" s="757">
        <f>P41+P46+P48</f>
        <v>0</v>
      </c>
      <c r="Q53" s="758">
        <f t="shared" si="6"/>
        <v>0</v>
      </c>
      <c r="R53" s="759">
        <f ca="1">R41+R46+R48</f>
        <v>55196.455331253979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0.2146017870093348</v>
      </c>
      <c r="D55" s="823">
        <f t="shared" ca="1" si="7"/>
        <v>0.23764705882352946</v>
      </c>
      <c r="E55" s="823">
        <f t="shared" ca="1" si="7"/>
        <v>0.20200000000000007</v>
      </c>
      <c r="F55" s="823">
        <f t="shared" si="7"/>
        <v>0.22699999999999998</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8"/>
      <c r="B59" s="1018"/>
      <c r="C59" s="1018"/>
      <c r="D59" s="1018"/>
      <c r="E59" s="1018"/>
      <c r="F59" s="1018"/>
      <c r="G59" s="1018"/>
      <c r="H59" s="1018"/>
      <c r="I59" s="1018"/>
      <c r="J59" s="1018"/>
      <c r="K59" s="1018"/>
      <c r="L59" s="1018"/>
      <c r="M59" s="1018"/>
      <c r="N59" s="1018"/>
      <c r="O59" s="1018"/>
      <c r="P59" s="1018"/>
      <c r="Q59" s="1018"/>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19" t="s">
        <v>242</v>
      </c>
      <c r="B61" s="1033" t="s">
        <v>352</v>
      </c>
      <c r="C61" s="1025"/>
      <c r="D61" s="1022" t="s">
        <v>353</v>
      </c>
      <c r="E61" s="1023"/>
      <c r="F61" s="1023"/>
      <c r="G61" s="1023"/>
      <c r="H61" s="1023"/>
      <c r="I61" s="1023"/>
      <c r="J61" s="1023"/>
      <c r="K61" s="1023"/>
      <c r="L61" s="1023"/>
      <c r="M61" s="1024"/>
      <c r="N61" s="1025" t="s">
        <v>663</v>
      </c>
      <c r="O61" s="1058" t="s">
        <v>662</v>
      </c>
      <c r="P61" s="1059"/>
      <c r="Q61" s="769"/>
      <c r="R61" s="726"/>
    </row>
    <row r="62" spans="1:18" ht="31.5" thickTop="1" thickBot="1">
      <c r="A62" s="1020"/>
      <c r="B62" s="1057"/>
      <c r="C62" s="1027"/>
      <c r="D62" s="1054" t="s">
        <v>198</v>
      </c>
      <c r="E62" s="1055"/>
      <c r="F62" s="1055"/>
      <c r="G62" s="1055"/>
      <c r="H62" s="1056"/>
      <c r="I62" s="770" t="s">
        <v>246</v>
      </c>
      <c r="J62" s="771" t="s">
        <v>247</v>
      </c>
      <c r="K62" s="771" t="s">
        <v>235</v>
      </c>
      <c r="L62" s="771" t="s">
        <v>248</v>
      </c>
      <c r="M62" s="1039" t="s">
        <v>127</v>
      </c>
      <c r="N62" s="1026"/>
      <c r="O62" s="914"/>
      <c r="P62" s="915"/>
      <c r="Q62" s="769"/>
      <c r="R62" s="726"/>
    </row>
    <row r="63" spans="1:18" ht="95.25" customHeight="1" thickTop="1" thickBot="1">
      <c r="A63" s="1021"/>
      <c r="B63" s="842" t="s">
        <v>568</v>
      </c>
      <c r="C63" s="842" t="s">
        <v>661</v>
      </c>
      <c r="D63" s="772" t="s">
        <v>200</v>
      </c>
      <c r="E63" s="773" t="s">
        <v>201</v>
      </c>
      <c r="F63" s="774" t="s">
        <v>202</v>
      </c>
      <c r="G63" s="775" t="s">
        <v>204</v>
      </c>
      <c r="H63" s="776" t="s">
        <v>205</v>
      </c>
      <c r="I63" s="777"/>
      <c r="J63" s="773"/>
      <c r="K63" s="773"/>
      <c r="L63" s="773"/>
      <c r="M63" s="1063"/>
      <c r="N63" s="1027"/>
      <c r="O63" s="845" t="s">
        <v>664</v>
      </c>
      <c r="P63" s="843" t="s">
        <v>665</v>
      </c>
      <c r="Q63" s="769"/>
      <c r="R63" s="726"/>
    </row>
    <row r="64" spans="1:18" ht="15.75" thickTop="1">
      <c r="A64" s="778" t="s">
        <v>250</v>
      </c>
      <c r="B64" s="896">
        <f>'lokale energieproductie'!B4</f>
        <v>0</v>
      </c>
      <c r="C64" s="779">
        <f>'lokale energieproductie'!B4</f>
        <v>0</v>
      </c>
      <c r="D64" s="1064"/>
      <c r="E64" s="1041"/>
      <c r="F64" s="1041"/>
      <c r="G64" s="1044"/>
      <c r="H64" s="1047"/>
      <c r="I64" s="780"/>
      <c r="J64" s="780"/>
      <c r="K64" s="780"/>
      <c r="L64" s="780"/>
      <c r="M64" s="1060"/>
      <c r="N64" s="909">
        <v>0</v>
      </c>
      <c r="O64" s="916"/>
      <c r="P64" s="909">
        <v>0</v>
      </c>
      <c r="Q64" s="769"/>
      <c r="R64" s="767"/>
    </row>
    <row r="65" spans="1:18" ht="15">
      <c r="A65" s="781" t="s">
        <v>251</v>
      </c>
      <c r="B65" s="778">
        <f>'lokale energieproductie'!B5</f>
        <v>0</v>
      </c>
      <c r="C65" s="779">
        <f>'lokale energieproductie'!B5</f>
        <v>0</v>
      </c>
      <c r="D65" s="1065"/>
      <c r="E65" s="1042"/>
      <c r="F65" s="1042"/>
      <c r="G65" s="1045"/>
      <c r="H65" s="1048"/>
      <c r="I65" s="782"/>
      <c r="J65" s="782"/>
      <c r="K65" s="782"/>
      <c r="L65" s="782"/>
      <c r="M65" s="1061"/>
      <c r="N65" s="910">
        <v>0</v>
      </c>
      <c r="O65" s="916"/>
      <c r="P65" s="910">
        <v>0</v>
      </c>
      <c r="Q65" s="769"/>
      <c r="R65" s="732"/>
    </row>
    <row r="66" spans="1:18" ht="15">
      <c r="A66" s="781" t="s">
        <v>252</v>
      </c>
      <c r="B66" s="778">
        <f>'lokale energieproductie'!B6</f>
        <v>1403.3904988560773</v>
      </c>
      <c r="C66" s="779">
        <f>'lokale energieproductie'!B6</f>
        <v>1403.3904988560773</v>
      </c>
      <c r="D66" s="1066"/>
      <c r="E66" s="1043"/>
      <c r="F66" s="1043"/>
      <c r="G66" s="1046"/>
      <c r="H66" s="1049"/>
      <c r="I66" s="783"/>
      <c r="J66" s="783"/>
      <c r="K66" s="783"/>
      <c r="L66" s="783"/>
      <c r="M66" s="1062"/>
      <c r="N66" s="910">
        <v>0</v>
      </c>
      <c r="O66" s="916"/>
      <c r="P66" s="910">
        <v>0</v>
      </c>
      <c r="Q66" s="769"/>
      <c r="R66" s="767"/>
    </row>
    <row r="67" spans="1:18" ht="15">
      <c r="A67" s="784" t="s">
        <v>253</v>
      </c>
      <c r="B67" s="778">
        <f>'lokale energieproductie'!B7</f>
        <v>1323</v>
      </c>
      <c r="C67" s="778">
        <f>B67*IFERROR(SUM(J67:L67)/SUM(D67:M67),0)</f>
        <v>0</v>
      </c>
      <c r="D67" s="810">
        <f>'lokale energieproductie'!C7</f>
        <v>1556.4705882352941</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314.40705882352944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2726.3904988560771</v>
      </c>
      <c r="C69" s="787">
        <f>SUM(C64:C68)</f>
        <v>1403.3904988560773</v>
      </c>
      <c r="D69" s="788">
        <f t="shared" ref="D69:M69" si="8">SUM(D67:D68)</f>
        <v>1556.4705882352941</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314.40705882352944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8"/>
      <c r="B73" s="1018"/>
      <c r="C73" s="1018"/>
      <c r="D73" s="1018"/>
      <c r="E73" s="1018"/>
      <c r="F73" s="1018"/>
      <c r="G73" s="1018"/>
      <c r="H73" s="1018"/>
      <c r="I73" s="1018"/>
      <c r="J73" s="1018"/>
      <c r="K73" s="1018"/>
      <c r="L73" s="1018"/>
      <c r="M73" s="1018"/>
      <c r="N73" s="1018"/>
      <c r="O73" s="1018"/>
      <c r="P73" s="1018"/>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19" t="s">
        <v>254</v>
      </c>
      <c r="B75" s="1033" t="s">
        <v>356</v>
      </c>
      <c r="C75" s="1025"/>
      <c r="D75" s="1022" t="s">
        <v>357</v>
      </c>
      <c r="E75" s="1023"/>
      <c r="F75" s="1023"/>
      <c r="G75" s="1023"/>
      <c r="H75" s="1023"/>
      <c r="I75" s="1023"/>
      <c r="J75" s="1023"/>
      <c r="K75" s="1023"/>
      <c r="L75" s="1023"/>
      <c r="M75" s="1024"/>
      <c r="N75" s="1025" t="s">
        <v>663</v>
      </c>
      <c r="O75" s="1033" t="s">
        <v>662</v>
      </c>
      <c r="P75" s="1025"/>
      <c r="Q75" s="796"/>
      <c r="R75" s="726"/>
    </row>
    <row r="76" spans="1:18" ht="16.5" thickTop="1" thickBot="1">
      <c r="A76" s="1020"/>
      <c r="B76" s="1034"/>
      <c r="C76" s="1026"/>
      <c r="D76" s="1028" t="s">
        <v>198</v>
      </c>
      <c r="E76" s="1029"/>
      <c r="F76" s="1029"/>
      <c r="G76" s="1029"/>
      <c r="H76" s="1030"/>
      <c r="I76" s="1031" t="s">
        <v>246</v>
      </c>
      <c r="J76" s="1031" t="s">
        <v>247</v>
      </c>
      <c r="K76" s="1035" t="s">
        <v>235</v>
      </c>
      <c r="L76" s="1037" t="s">
        <v>258</v>
      </c>
      <c r="M76" s="1039" t="s">
        <v>127</v>
      </c>
      <c r="N76" s="1026"/>
      <c r="O76" s="914"/>
      <c r="P76" s="915"/>
      <c r="Q76" s="796"/>
      <c r="R76" s="726"/>
    </row>
    <row r="77" spans="1:18" ht="110.25" customHeight="1" thickTop="1" thickBot="1">
      <c r="A77" s="1021"/>
      <c r="B77" s="897" t="s">
        <v>568</v>
      </c>
      <c r="C77" s="897" t="s">
        <v>661</v>
      </c>
      <c r="D77" s="797" t="s">
        <v>200</v>
      </c>
      <c r="E77" s="773" t="s">
        <v>201</v>
      </c>
      <c r="F77" s="798" t="s">
        <v>202</v>
      </c>
      <c r="G77" s="773" t="s">
        <v>204</v>
      </c>
      <c r="H77" s="799" t="s">
        <v>205</v>
      </c>
      <c r="I77" s="1032"/>
      <c r="J77" s="1032"/>
      <c r="K77" s="1036"/>
      <c r="L77" s="1038"/>
      <c r="M77" s="1040"/>
      <c r="N77" s="1027"/>
      <c r="O77" s="845" t="s">
        <v>664</v>
      </c>
      <c r="P77" s="843" t="s">
        <v>665</v>
      </c>
      <c r="Q77" s="796"/>
      <c r="R77" s="726"/>
    </row>
    <row r="78" spans="1:18" ht="15.75" thickTop="1">
      <c r="A78" s="800" t="s">
        <v>253</v>
      </c>
      <c r="B78" s="801">
        <f>'lokale energieproductie'!B16</f>
        <v>1890</v>
      </c>
      <c r="C78" s="801">
        <f>B78*IFERROR(SUM(I78:L78)/SUM(D78:M78),0)</f>
        <v>0</v>
      </c>
      <c r="D78" s="816">
        <f>'lokale energieproductie'!C16</f>
        <v>2223.5294117647063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449.15294117647068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1890</v>
      </c>
      <c r="C81" s="787">
        <f>SUM(C78:C80)</f>
        <v>0</v>
      </c>
      <c r="D81" s="787">
        <f t="shared" ref="D81:P81" si="9">SUM(D78:D80)</f>
        <v>2223.5294117647063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449.15294117647068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97" t="s">
        <v>563</v>
      </c>
      <c r="B1" s="1098" t="s">
        <v>559</v>
      </c>
      <c r="C1" s="1098"/>
      <c r="D1" s="1098"/>
      <c r="E1" s="1098"/>
      <c r="F1" s="1098"/>
      <c r="G1" s="1098"/>
      <c r="H1" s="1098"/>
      <c r="I1" s="1098"/>
      <c r="J1" s="1098"/>
      <c r="K1" s="1098"/>
      <c r="L1" s="1098"/>
      <c r="M1" s="1098"/>
      <c r="N1" s="1098"/>
      <c r="O1" s="1098"/>
      <c r="P1" s="1099"/>
      <c r="Q1" s="458"/>
    </row>
    <row r="2" spans="1:17">
      <c r="A2" s="1097"/>
      <c r="B2" s="1100" t="s">
        <v>21</v>
      </c>
      <c r="C2" s="1102" t="s">
        <v>197</v>
      </c>
      <c r="D2" s="1104" t="s">
        <v>198</v>
      </c>
      <c r="E2" s="1105"/>
      <c r="F2" s="1105"/>
      <c r="G2" s="1105"/>
      <c r="H2" s="1105"/>
      <c r="I2" s="1105"/>
      <c r="J2" s="1105"/>
      <c r="K2" s="1101"/>
      <c r="L2" s="1104" t="s">
        <v>199</v>
      </c>
      <c r="M2" s="1105"/>
      <c r="N2" s="1105"/>
      <c r="O2" s="1105"/>
      <c r="P2" s="1101"/>
      <c r="Q2" s="458"/>
    </row>
    <row r="3" spans="1:17" ht="45">
      <c r="A3" s="1097"/>
      <c r="B3" s="1101"/>
      <c r="C3" s="1103"/>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29440.597928902785</v>
      </c>
      <c r="C4" s="461">
        <f>huishoudens!C8</f>
        <v>0</v>
      </c>
      <c r="D4" s="461">
        <f>huishoudens!D8</f>
        <v>45126.461072000006</v>
      </c>
      <c r="E4" s="461">
        <f>huishoudens!E8</f>
        <v>2094.0904412816553</v>
      </c>
      <c r="F4" s="461">
        <f>huishoudens!F8</f>
        <v>37956.385415614437</v>
      </c>
      <c r="G4" s="461">
        <f>huishoudens!G8</f>
        <v>0</v>
      </c>
      <c r="H4" s="461">
        <f>huishoudens!H8</f>
        <v>0</v>
      </c>
      <c r="I4" s="461">
        <f>huishoudens!I8</f>
        <v>0</v>
      </c>
      <c r="J4" s="461">
        <f>huishoudens!J8</f>
        <v>0</v>
      </c>
      <c r="K4" s="461">
        <f>huishoudens!K8</f>
        <v>0</v>
      </c>
      <c r="L4" s="461">
        <f>huishoudens!L8</f>
        <v>0</v>
      </c>
      <c r="M4" s="461">
        <f>huishoudens!M8</f>
        <v>0</v>
      </c>
      <c r="N4" s="461">
        <f>huishoudens!N8</f>
        <v>6328.2070392803407</v>
      </c>
      <c r="O4" s="461">
        <f>huishoudens!O8</f>
        <v>78.166666666666671</v>
      </c>
      <c r="P4" s="462">
        <f>huishoudens!P8</f>
        <v>152.53333333333333</v>
      </c>
      <c r="Q4" s="463">
        <f>SUM(B4:P4)</f>
        <v>121176.44189707925</v>
      </c>
    </row>
    <row r="5" spans="1:17">
      <c r="A5" s="460" t="s">
        <v>156</v>
      </c>
      <c r="B5" s="461">
        <f ca="1">tertiair!B16</f>
        <v>12640.375999999998</v>
      </c>
      <c r="C5" s="461">
        <f ca="1">tertiair!C16</f>
        <v>1890</v>
      </c>
      <c r="D5" s="461">
        <f ca="1">tertiair!D16</f>
        <v>35062.213541999998</v>
      </c>
      <c r="E5" s="461">
        <f>tertiair!E16</f>
        <v>210.94406778662892</v>
      </c>
      <c r="F5" s="461">
        <f ca="1">tertiair!F16</f>
        <v>2108.7319613377003</v>
      </c>
      <c r="G5" s="461">
        <f>tertiair!G16</f>
        <v>0</v>
      </c>
      <c r="H5" s="461">
        <f>tertiair!H16</f>
        <v>0</v>
      </c>
      <c r="I5" s="461">
        <f>tertiair!I16</f>
        <v>0</v>
      </c>
      <c r="J5" s="461">
        <f>tertiair!J16</f>
        <v>0</v>
      </c>
      <c r="K5" s="461">
        <f>tertiair!K16</f>
        <v>0</v>
      </c>
      <c r="L5" s="461">
        <f ca="1">tertiair!L16</f>
        <v>0</v>
      </c>
      <c r="M5" s="461">
        <f>tertiair!M16</f>
        <v>0</v>
      </c>
      <c r="N5" s="461">
        <f ca="1">tertiair!N16</f>
        <v>256.23816778206196</v>
      </c>
      <c r="O5" s="461">
        <f>tertiair!O16</f>
        <v>0</v>
      </c>
      <c r="P5" s="462">
        <f>tertiair!P16</f>
        <v>38.133333333333333</v>
      </c>
      <c r="Q5" s="460">
        <f t="shared" ref="Q5:Q13" ca="1" si="0">SUM(B5:P5)</f>
        <v>52206.637072239719</v>
      </c>
    </row>
    <row r="6" spans="1:17">
      <c r="A6" s="460" t="s">
        <v>195</v>
      </c>
      <c r="B6" s="461">
        <f>'openbare verlichting'!B8</f>
        <v>816.55700000000002</v>
      </c>
      <c r="C6" s="461"/>
      <c r="D6" s="461"/>
      <c r="E6" s="461"/>
      <c r="F6" s="461"/>
      <c r="G6" s="461"/>
      <c r="H6" s="461"/>
      <c r="I6" s="461"/>
      <c r="J6" s="461"/>
      <c r="K6" s="461"/>
      <c r="L6" s="461"/>
      <c r="M6" s="461"/>
      <c r="N6" s="461"/>
      <c r="O6" s="461"/>
      <c r="P6" s="462"/>
      <c r="Q6" s="460">
        <f t="shared" si="0"/>
        <v>816.55700000000002</v>
      </c>
    </row>
    <row r="7" spans="1:17">
      <c r="A7" s="460" t="s">
        <v>112</v>
      </c>
      <c r="B7" s="461">
        <f>landbouw!B8</f>
        <v>139.30500000000001</v>
      </c>
      <c r="C7" s="461">
        <f>landbouw!C8</f>
        <v>0</v>
      </c>
      <c r="D7" s="461">
        <f>landbouw!D8</f>
        <v>0</v>
      </c>
      <c r="E7" s="461">
        <f>landbouw!E8</f>
        <v>1.4588321183026514</v>
      </c>
      <c r="F7" s="461">
        <f>landbouw!F8</f>
        <v>715.49266073658441</v>
      </c>
      <c r="G7" s="461">
        <f>landbouw!G8</f>
        <v>0</v>
      </c>
      <c r="H7" s="461">
        <f>landbouw!H8</f>
        <v>0</v>
      </c>
      <c r="I7" s="461">
        <f>landbouw!I8</f>
        <v>0</v>
      </c>
      <c r="J7" s="461">
        <f>landbouw!J8</f>
        <v>12.441185112015896</v>
      </c>
      <c r="K7" s="461">
        <f>landbouw!K8</f>
        <v>0</v>
      </c>
      <c r="L7" s="461">
        <f>landbouw!L8</f>
        <v>0</v>
      </c>
      <c r="M7" s="461">
        <f>landbouw!M8</f>
        <v>0</v>
      </c>
      <c r="N7" s="461">
        <f>landbouw!N8</f>
        <v>0</v>
      </c>
      <c r="O7" s="461">
        <f>landbouw!O8</f>
        <v>0</v>
      </c>
      <c r="P7" s="462">
        <f>landbouw!P8</f>
        <v>0</v>
      </c>
      <c r="Q7" s="460">
        <f t="shared" si="0"/>
        <v>868.69767796690292</v>
      </c>
    </row>
    <row r="8" spans="1:17">
      <c r="A8" s="460" t="s">
        <v>656</v>
      </c>
      <c r="B8" s="461">
        <f>industrie!B18</f>
        <v>1994.6569999999999</v>
      </c>
      <c r="C8" s="461">
        <f>industrie!C18</f>
        <v>0</v>
      </c>
      <c r="D8" s="461">
        <f>industrie!D18</f>
        <v>1151.8837659999999</v>
      </c>
      <c r="E8" s="461">
        <f>industrie!E18</f>
        <v>32.471753245847061</v>
      </c>
      <c r="F8" s="461">
        <f>industrie!F18</f>
        <v>740.69614530826004</v>
      </c>
      <c r="G8" s="461">
        <f>industrie!G18</f>
        <v>0</v>
      </c>
      <c r="H8" s="461">
        <f>industrie!H18</f>
        <v>0</v>
      </c>
      <c r="I8" s="461">
        <f>industrie!I18</f>
        <v>0</v>
      </c>
      <c r="J8" s="461">
        <f>industrie!J18</f>
        <v>7.1488103953273932</v>
      </c>
      <c r="K8" s="461">
        <f>industrie!K18</f>
        <v>0</v>
      </c>
      <c r="L8" s="461">
        <f>industrie!L18</f>
        <v>0</v>
      </c>
      <c r="M8" s="461">
        <f>industrie!M18</f>
        <v>0</v>
      </c>
      <c r="N8" s="461">
        <f>industrie!N18</f>
        <v>63.765559240713912</v>
      </c>
      <c r="O8" s="461">
        <f>industrie!O18</f>
        <v>0</v>
      </c>
      <c r="P8" s="462">
        <f>industrie!P18</f>
        <v>0</v>
      </c>
      <c r="Q8" s="460">
        <f t="shared" si="0"/>
        <v>3990.6230341901487</v>
      </c>
    </row>
    <row r="9" spans="1:17" s="466" customFormat="1">
      <c r="A9" s="464" t="s">
        <v>574</v>
      </c>
      <c r="B9" s="465">
        <f>transport!B14</f>
        <v>0.64992786506758737</v>
      </c>
      <c r="C9" s="465">
        <f>transport!C14</f>
        <v>0</v>
      </c>
      <c r="D9" s="465">
        <f>transport!D14</f>
        <v>3.4088170491216903</v>
      </c>
      <c r="E9" s="465">
        <f>transport!E14</f>
        <v>342.26178121427722</v>
      </c>
      <c r="F9" s="465">
        <f>transport!F14</f>
        <v>0</v>
      </c>
      <c r="G9" s="465">
        <f>transport!G14</f>
        <v>51597.806279307581</v>
      </c>
      <c r="H9" s="465">
        <f>transport!H14</f>
        <v>11279.100055052724</v>
      </c>
      <c r="I9" s="465">
        <f>transport!I14</f>
        <v>0</v>
      </c>
      <c r="J9" s="465">
        <f>transport!J14</f>
        <v>0</v>
      </c>
      <c r="K9" s="465">
        <f>transport!K14</f>
        <v>0</v>
      </c>
      <c r="L9" s="465">
        <f>transport!L14</f>
        <v>0</v>
      </c>
      <c r="M9" s="465">
        <f>transport!M14</f>
        <v>2749.9408385918505</v>
      </c>
      <c r="N9" s="465">
        <f>transport!N14</f>
        <v>0</v>
      </c>
      <c r="O9" s="465">
        <f>transport!O14</f>
        <v>0</v>
      </c>
      <c r="P9" s="465">
        <f>transport!P14</f>
        <v>0</v>
      </c>
      <c r="Q9" s="464">
        <f>SUM(B9:P9)</f>
        <v>65973.16769908063</v>
      </c>
    </row>
    <row r="10" spans="1:17">
      <c r="A10" s="460" t="s">
        <v>564</v>
      </c>
      <c r="B10" s="461">
        <f>transport!B54</f>
        <v>0</v>
      </c>
      <c r="C10" s="461">
        <f>transport!C54</f>
        <v>0</v>
      </c>
      <c r="D10" s="461">
        <f>transport!D54</f>
        <v>0</v>
      </c>
      <c r="E10" s="461">
        <f>transport!E54</f>
        <v>0</v>
      </c>
      <c r="F10" s="461">
        <f>transport!F54</f>
        <v>0</v>
      </c>
      <c r="G10" s="461">
        <f>transport!G54</f>
        <v>1366.9302847441761</v>
      </c>
      <c r="H10" s="461">
        <f>transport!H54</f>
        <v>0</v>
      </c>
      <c r="I10" s="461">
        <f>transport!I54</f>
        <v>0</v>
      </c>
      <c r="J10" s="461">
        <f>transport!J54</f>
        <v>0</v>
      </c>
      <c r="K10" s="461">
        <f>transport!K54</f>
        <v>0</v>
      </c>
      <c r="L10" s="461">
        <f>transport!L54</f>
        <v>0</v>
      </c>
      <c r="M10" s="461">
        <f>transport!M54</f>
        <v>58.266299442053722</v>
      </c>
      <c r="N10" s="461">
        <f>transport!N54</f>
        <v>0</v>
      </c>
      <c r="O10" s="461">
        <f>transport!O54</f>
        <v>0</v>
      </c>
      <c r="P10" s="462">
        <f>transport!P54</f>
        <v>0</v>
      </c>
      <c r="Q10" s="460">
        <f t="shared" si="0"/>
        <v>1425.1965841862298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45032.142856767852</v>
      </c>
      <c r="C14" s="471">
        <f t="shared" ref="C14:Q14" ca="1" si="1">SUM(C4:C13)</f>
        <v>1890</v>
      </c>
      <c r="D14" s="471">
        <f t="shared" ca="1" si="1"/>
        <v>81343.967197049118</v>
      </c>
      <c r="E14" s="471">
        <f t="shared" si="1"/>
        <v>2681.2268756467111</v>
      </c>
      <c r="F14" s="471">
        <f t="shared" ca="1" si="1"/>
        <v>41521.306182996988</v>
      </c>
      <c r="G14" s="471">
        <f t="shared" si="1"/>
        <v>52964.73656405176</v>
      </c>
      <c r="H14" s="471">
        <f t="shared" si="1"/>
        <v>11279.100055052724</v>
      </c>
      <c r="I14" s="471">
        <f t="shared" si="1"/>
        <v>0</v>
      </c>
      <c r="J14" s="471">
        <f t="shared" si="1"/>
        <v>19.589995507343289</v>
      </c>
      <c r="K14" s="471">
        <f t="shared" si="1"/>
        <v>0</v>
      </c>
      <c r="L14" s="471">
        <f t="shared" ca="1" si="1"/>
        <v>0</v>
      </c>
      <c r="M14" s="471">
        <f t="shared" si="1"/>
        <v>2808.2071380339044</v>
      </c>
      <c r="N14" s="471">
        <f t="shared" ca="1" si="1"/>
        <v>6648.2107663031165</v>
      </c>
      <c r="O14" s="471">
        <f t="shared" si="1"/>
        <v>78.166666666666671</v>
      </c>
      <c r="P14" s="472">
        <f t="shared" si="1"/>
        <v>190.66666666666666</v>
      </c>
      <c r="Q14" s="472">
        <f t="shared" ca="1" si="1"/>
        <v>246457.32096474289</v>
      </c>
    </row>
    <row r="16" spans="1:17">
      <c r="A16" s="474" t="s">
        <v>569</v>
      </c>
      <c r="B16" s="828">
        <f ca="1">huishoudens!B10</f>
        <v>0.2146017870093348</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97" t="s">
        <v>571</v>
      </c>
      <c r="B18" s="1098" t="s">
        <v>570</v>
      </c>
      <c r="C18" s="1098"/>
      <c r="D18" s="1098"/>
      <c r="E18" s="1098"/>
      <c r="F18" s="1098"/>
      <c r="G18" s="1098"/>
      <c r="H18" s="1098"/>
      <c r="I18" s="1098"/>
      <c r="J18" s="1098"/>
      <c r="K18" s="1098"/>
      <c r="L18" s="1098"/>
      <c r="M18" s="1098"/>
      <c r="N18" s="1098"/>
      <c r="O18" s="1098"/>
      <c r="P18" s="1099"/>
      <c r="Q18" s="458"/>
    </row>
    <row r="19" spans="1:17" ht="15" customHeight="1">
      <c r="A19" s="1097"/>
      <c r="B19" s="1100" t="s">
        <v>21</v>
      </c>
      <c r="C19" s="1102" t="s">
        <v>197</v>
      </c>
      <c r="D19" s="1104" t="s">
        <v>198</v>
      </c>
      <c r="E19" s="1105"/>
      <c r="F19" s="1105"/>
      <c r="G19" s="1105"/>
      <c r="H19" s="1105"/>
      <c r="I19" s="1105"/>
      <c r="J19" s="1105"/>
      <c r="K19" s="1101"/>
      <c r="L19" s="1104" t="s">
        <v>199</v>
      </c>
      <c r="M19" s="1105"/>
      <c r="N19" s="1105"/>
      <c r="O19" s="1105"/>
      <c r="P19" s="1101"/>
      <c r="Q19" s="458"/>
    </row>
    <row r="20" spans="1:17" ht="45">
      <c r="A20" s="1097"/>
      <c r="B20" s="1101"/>
      <c r="C20" s="1103"/>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6318.0049261658587</v>
      </c>
      <c r="C21" s="461">
        <f t="shared" ref="C21:C30" ca="1" si="3">C4*$C$16</f>
        <v>0</v>
      </c>
      <c r="D21" s="461">
        <f t="shared" ref="D21:D30" si="4">D4*$D$16</f>
        <v>9115.5451365440022</v>
      </c>
      <c r="E21" s="461">
        <f t="shared" ref="E21:E30" si="5">E4*$E$16</f>
        <v>475.35853017093575</v>
      </c>
      <c r="F21" s="461">
        <f t="shared" ref="F21:F30" si="6">F4*$F$16</f>
        <v>10134.354905969056</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26043.263498849854</v>
      </c>
    </row>
    <row r="22" spans="1:17">
      <c r="A22" s="460" t="s">
        <v>156</v>
      </c>
      <c r="B22" s="461">
        <f t="shared" ca="1" si="2"/>
        <v>2712.6472780699069</v>
      </c>
      <c r="C22" s="461">
        <f t="shared" ca="1" si="3"/>
        <v>449.15294117647068</v>
      </c>
      <c r="D22" s="461">
        <f t="shared" ca="1" si="4"/>
        <v>7082.5671354839997</v>
      </c>
      <c r="E22" s="461">
        <f t="shared" si="5"/>
        <v>47.884303387564763</v>
      </c>
      <c r="F22" s="461">
        <f t="shared" ca="1" si="6"/>
        <v>563.03143367716598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10855.283091795109</v>
      </c>
    </row>
    <row r="23" spans="1:17">
      <c r="A23" s="460" t="s">
        <v>195</v>
      </c>
      <c r="B23" s="461">
        <f t="shared" ca="1" si="2"/>
        <v>175.23459139498141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175.23459139498141</v>
      </c>
    </row>
    <row r="24" spans="1:17">
      <c r="A24" s="460" t="s">
        <v>112</v>
      </c>
      <c r="B24" s="461">
        <f t="shared" ca="1" si="2"/>
        <v>29.895101939335387</v>
      </c>
      <c r="C24" s="461">
        <f t="shared" ca="1" si="3"/>
        <v>0</v>
      </c>
      <c r="D24" s="461">
        <f t="shared" si="4"/>
        <v>0</v>
      </c>
      <c r="E24" s="461">
        <f t="shared" si="5"/>
        <v>0.33115489085470184</v>
      </c>
      <c r="F24" s="461">
        <f t="shared" si="6"/>
        <v>191.03654041666806</v>
      </c>
      <c r="G24" s="461">
        <f t="shared" si="7"/>
        <v>0</v>
      </c>
      <c r="H24" s="461">
        <f t="shared" si="8"/>
        <v>0</v>
      </c>
      <c r="I24" s="461">
        <f t="shared" si="9"/>
        <v>0</v>
      </c>
      <c r="J24" s="461">
        <f t="shared" si="10"/>
        <v>4.4041795296536268</v>
      </c>
      <c r="K24" s="461">
        <f t="shared" si="11"/>
        <v>0</v>
      </c>
      <c r="L24" s="461">
        <f t="shared" si="12"/>
        <v>0</v>
      </c>
      <c r="M24" s="461">
        <f t="shared" si="13"/>
        <v>0</v>
      </c>
      <c r="N24" s="461">
        <f t="shared" si="14"/>
        <v>0</v>
      </c>
      <c r="O24" s="461">
        <f t="shared" si="15"/>
        <v>0</v>
      </c>
      <c r="P24" s="462">
        <f t="shared" si="16"/>
        <v>0</v>
      </c>
      <c r="Q24" s="460">
        <f t="shared" ca="1" si="17"/>
        <v>225.66697677651177</v>
      </c>
    </row>
    <row r="25" spans="1:17">
      <c r="A25" s="460" t="s">
        <v>656</v>
      </c>
      <c r="B25" s="461">
        <f t="shared" ca="1" si="2"/>
        <v>428.05695667067869</v>
      </c>
      <c r="C25" s="461">
        <f t="shared" ca="1" si="3"/>
        <v>0</v>
      </c>
      <c r="D25" s="461">
        <f t="shared" si="4"/>
        <v>232.68052073199999</v>
      </c>
      <c r="E25" s="461">
        <f t="shared" si="5"/>
        <v>7.3710879868072832</v>
      </c>
      <c r="F25" s="461">
        <f t="shared" si="6"/>
        <v>197.76587079730544</v>
      </c>
      <c r="G25" s="461">
        <f t="shared" si="7"/>
        <v>0</v>
      </c>
      <c r="H25" s="461">
        <f t="shared" si="8"/>
        <v>0</v>
      </c>
      <c r="I25" s="461">
        <f t="shared" si="9"/>
        <v>0</v>
      </c>
      <c r="J25" s="461">
        <f t="shared" si="10"/>
        <v>2.530678879945897</v>
      </c>
      <c r="K25" s="461">
        <f t="shared" si="11"/>
        <v>0</v>
      </c>
      <c r="L25" s="461">
        <f t="shared" si="12"/>
        <v>0</v>
      </c>
      <c r="M25" s="461">
        <f t="shared" si="13"/>
        <v>0</v>
      </c>
      <c r="N25" s="461">
        <f t="shared" si="14"/>
        <v>0</v>
      </c>
      <c r="O25" s="461">
        <f t="shared" si="15"/>
        <v>0</v>
      </c>
      <c r="P25" s="462">
        <f t="shared" si="16"/>
        <v>0</v>
      </c>
      <c r="Q25" s="460">
        <f t="shared" ca="1" si="17"/>
        <v>868.40511506673727</v>
      </c>
    </row>
    <row r="26" spans="1:17" s="466" customFormat="1">
      <c r="A26" s="464" t="s">
        <v>574</v>
      </c>
      <c r="B26" s="822">
        <f t="shared" ca="1" si="2"/>
        <v>0.13947568127066606</v>
      </c>
      <c r="C26" s="465">
        <f t="shared" ca="1" si="3"/>
        <v>0</v>
      </c>
      <c r="D26" s="465">
        <f t="shared" si="4"/>
        <v>0.68858104392258146</v>
      </c>
      <c r="E26" s="465">
        <f t="shared" si="5"/>
        <v>77.693424335640927</v>
      </c>
      <c r="F26" s="465">
        <f t="shared" si="6"/>
        <v>0</v>
      </c>
      <c r="G26" s="465">
        <f t="shared" si="7"/>
        <v>13776.614276575125</v>
      </c>
      <c r="H26" s="465">
        <f t="shared" si="8"/>
        <v>2808.4959137081282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16663.631671344086</v>
      </c>
    </row>
    <row r="27" spans="1:17">
      <c r="A27" s="460" t="s">
        <v>564</v>
      </c>
      <c r="B27" s="461">
        <f t="shared" ca="1" si="2"/>
        <v>0</v>
      </c>
      <c r="C27" s="461">
        <f t="shared" ca="1" si="3"/>
        <v>0</v>
      </c>
      <c r="D27" s="461">
        <f t="shared" si="4"/>
        <v>0</v>
      </c>
      <c r="E27" s="461">
        <f t="shared" si="5"/>
        <v>0</v>
      </c>
      <c r="F27" s="461">
        <f t="shared" si="6"/>
        <v>0</v>
      </c>
      <c r="G27" s="461">
        <f t="shared" si="7"/>
        <v>364.97038602669505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364.97038602669505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9663.9783299220308</v>
      </c>
      <c r="C31" s="471">
        <f t="shared" ca="1" si="18"/>
        <v>449.15294117647068</v>
      </c>
      <c r="D31" s="471">
        <f t="shared" ca="1" si="18"/>
        <v>16431.481373803927</v>
      </c>
      <c r="E31" s="471">
        <f t="shared" si="18"/>
        <v>608.63850077180336</v>
      </c>
      <c r="F31" s="471">
        <f t="shared" ca="1" si="18"/>
        <v>11086.188750860196</v>
      </c>
      <c r="G31" s="471">
        <f t="shared" si="18"/>
        <v>14141.584662601819</v>
      </c>
      <c r="H31" s="471">
        <f t="shared" si="18"/>
        <v>2808.4959137081282</v>
      </c>
      <c r="I31" s="471">
        <f t="shared" si="18"/>
        <v>0</v>
      </c>
      <c r="J31" s="471">
        <f t="shared" si="18"/>
        <v>6.9348584095995243</v>
      </c>
      <c r="K31" s="471">
        <f t="shared" si="18"/>
        <v>0</v>
      </c>
      <c r="L31" s="471">
        <f t="shared" ca="1" si="18"/>
        <v>0</v>
      </c>
      <c r="M31" s="471">
        <f t="shared" si="18"/>
        <v>0</v>
      </c>
      <c r="N31" s="471">
        <f t="shared" ca="1" si="18"/>
        <v>0</v>
      </c>
      <c r="O31" s="471">
        <f t="shared" si="18"/>
        <v>0</v>
      </c>
      <c r="P31" s="472">
        <f t="shared" si="18"/>
        <v>0</v>
      </c>
      <c r="Q31" s="472">
        <f t="shared" ca="1" si="18"/>
        <v>55196.455331253972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97" t="s">
        <v>389</v>
      </c>
      <c r="B1" s="1106" t="s">
        <v>196</v>
      </c>
      <c r="C1" s="1107"/>
      <c r="D1" s="1107"/>
      <c r="E1" s="1107"/>
      <c r="F1" s="1107"/>
      <c r="G1" s="1107"/>
      <c r="H1" s="1107"/>
      <c r="I1" s="1107"/>
      <c r="J1" s="1107"/>
      <c r="K1" s="1107"/>
      <c r="L1" s="1107"/>
      <c r="M1" s="1107"/>
      <c r="N1" s="1107"/>
      <c r="O1" s="1107"/>
      <c r="P1" s="1107"/>
    </row>
    <row r="2" spans="1:16" ht="15" customHeight="1" outlineLevel="1" thickTop="1">
      <c r="A2" s="1097"/>
      <c r="B2" s="1108" t="s">
        <v>21</v>
      </c>
      <c r="C2" s="1108" t="s">
        <v>197</v>
      </c>
      <c r="D2" s="1109" t="s">
        <v>198</v>
      </c>
      <c r="E2" s="1110"/>
      <c r="F2" s="1110"/>
      <c r="G2" s="1110"/>
      <c r="H2" s="1110"/>
      <c r="I2" s="1110"/>
      <c r="J2" s="1110"/>
      <c r="K2" s="1111"/>
      <c r="L2" s="1109" t="s">
        <v>199</v>
      </c>
      <c r="M2" s="1110"/>
      <c r="N2" s="1110"/>
      <c r="O2" s="1110"/>
      <c r="P2" s="1111"/>
    </row>
    <row r="3" spans="1:16" ht="56.25" customHeight="1" outlineLevel="1">
      <c r="A3" s="1097"/>
      <c r="B3" s="1103"/>
      <c r="C3" s="1103"/>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0.2146017870093348</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97" t="s">
        <v>389</v>
      </c>
      <c r="B1" s="1106" t="s">
        <v>196</v>
      </c>
      <c r="C1" s="1107"/>
      <c r="D1" s="1107"/>
      <c r="E1" s="1107"/>
      <c r="F1" s="1107"/>
      <c r="G1" s="1107"/>
      <c r="H1" s="1107"/>
      <c r="I1" s="1107"/>
      <c r="J1" s="1107"/>
      <c r="K1" s="1107"/>
      <c r="L1" s="1107"/>
      <c r="M1" s="1107"/>
      <c r="N1" s="1107"/>
      <c r="O1" s="1107"/>
      <c r="P1" s="1107"/>
    </row>
    <row r="2" spans="1:16" ht="15" customHeight="1" outlineLevel="1" thickTop="1">
      <c r="A2" s="1097"/>
      <c r="B2" s="1108" t="s">
        <v>21</v>
      </c>
      <c r="C2" s="1108" t="s">
        <v>197</v>
      </c>
      <c r="D2" s="1109" t="s">
        <v>198</v>
      </c>
      <c r="E2" s="1110"/>
      <c r="F2" s="1110"/>
      <c r="G2" s="1110"/>
      <c r="H2" s="1110"/>
      <c r="I2" s="1110"/>
      <c r="J2" s="1110"/>
      <c r="K2" s="1111"/>
      <c r="L2" s="1109" t="s">
        <v>199</v>
      </c>
      <c r="M2" s="1110"/>
      <c r="N2" s="1110"/>
      <c r="O2" s="1110"/>
      <c r="P2" s="1111"/>
    </row>
    <row r="3" spans="1:16" ht="56.25" customHeight="1" outlineLevel="1">
      <c r="A3" s="1097"/>
      <c r="B3" s="1103"/>
      <c r="C3" s="1103"/>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12"/>
      <c r="P13" s="1112"/>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0.2146017870093348</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97" t="s">
        <v>329</v>
      </c>
      <c r="B1" s="1106" t="s">
        <v>196</v>
      </c>
      <c r="C1" s="1107"/>
      <c r="D1" s="1107"/>
      <c r="E1" s="1107"/>
      <c r="F1" s="1107"/>
      <c r="G1" s="1107"/>
      <c r="H1" s="1107"/>
      <c r="I1" s="1107"/>
      <c r="J1" s="1107"/>
      <c r="K1" s="1107"/>
      <c r="L1" s="1107"/>
      <c r="M1" s="1107"/>
      <c r="N1" s="1107"/>
      <c r="O1" s="1107"/>
      <c r="P1" s="1107"/>
    </row>
    <row r="2" spans="1:16" ht="15" customHeight="1" thickTop="1">
      <c r="A2" s="1097"/>
      <c r="B2" s="1108" t="s">
        <v>21</v>
      </c>
      <c r="C2" s="1108" t="s">
        <v>197</v>
      </c>
      <c r="D2" s="1109" t="s">
        <v>198</v>
      </c>
      <c r="E2" s="1110"/>
      <c r="F2" s="1110"/>
      <c r="G2" s="1110"/>
      <c r="H2" s="1110"/>
      <c r="I2" s="1110"/>
      <c r="J2" s="1110"/>
      <c r="K2" s="1111"/>
      <c r="L2" s="1109" t="s">
        <v>199</v>
      </c>
      <c r="M2" s="1110"/>
      <c r="N2" s="1110"/>
      <c r="O2" s="1110"/>
      <c r="P2" s="1111"/>
    </row>
    <row r="3" spans="1:16" ht="56.25" customHeight="1">
      <c r="A3" s="1097"/>
      <c r="B3" s="1103"/>
      <c r="C3" s="1103"/>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0.2146017870093348</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13"/>
      <c r="K10" s="58"/>
    </row>
    <row r="11" spans="1:11" s="43" customFormat="1">
      <c r="A11" s="44" t="s">
        <v>577</v>
      </c>
      <c r="B11" s="47"/>
      <c r="D11" s="143" t="s">
        <v>395</v>
      </c>
      <c r="I11" s="1113"/>
      <c r="K11" s="58"/>
    </row>
    <row r="12" spans="1:11" s="43" customFormat="1">
      <c r="A12" s="44" t="s">
        <v>578</v>
      </c>
      <c r="B12" s="47"/>
      <c r="D12" s="143" t="s">
        <v>395</v>
      </c>
      <c r="I12" s="1113"/>
      <c r="K12" s="58"/>
    </row>
    <row r="13" spans="1:11" s="43" customFormat="1">
      <c r="A13" s="44"/>
      <c r="B13" s="461"/>
      <c r="D13" s="96"/>
      <c r="I13" s="1113"/>
    </row>
    <row r="14" spans="1:11" s="43" customFormat="1">
      <c r="A14" s="305" t="s">
        <v>575</v>
      </c>
      <c r="B14" s="514"/>
      <c r="C14" s="142" t="s">
        <v>183</v>
      </c>
      <c r="D14" s="145" t="s">
        <v>394</v>
      </c>
      <c r="I14" s="1113"/>
    </row>
    <row r="15" spans="1:11" s="43" customFormat="1">
      <c r="A15" s="44" t="s">
        <v>71</v>
      </c>
      <c r="B15" s="47"/>
      <c r="D15" s="143" t="s">
        <v>395</v>
      </c>
      <c r="I15" s="1113"/>
      <c r="J15" s="1113"/>
    </row>
    <row r="16" spans="1:11" s="43" customFormat="1">
      <c r="A16" s="44" t="s">
        <v>540</v>
      </c>
      <c r="B16" s="47"/>
      <c r="D16" s="143" t="s">
        <v>395</v>
      </c>
      <c r="I16" s="1113"/>
      <c r="J16" s="1113"/>
    </row>
    <row r="17" spans="1:11" s="43" customFormat="1">
      <c r="A17" s="44" t="s">
        <v>78</v>
      </c>
      <c r="B17" s="47"/>
      <c r="D17" s="143" t="s">
        <v>395</v>
      </c>
      <c r="I17" s="1113"/>
      <c r="J17" s="1113"/>
    </row>
    <row r="18" spans="1:11" s="43" customFormat="1">
      <c r="A18" s="44" t="s">
        <v>541</v>
      </c>
      <c r="B18" s="47"/>
      <c r="D18" s="143" t="s">
        <v>395</v>
      </c>
      <c r="I18" s="1113"/>
      <c r="J18" s="1113"/>
      <c r="K18" s="58"/>
    </row>
    <row r="19" spans="1:11" s="43" customFormat="1">
      <c r="A19" s="44" t="s">
        <v>77</v>
      </c>
      <c r="B19" s="47"/>
      <c r="D19" s="143" t="s">
        <v>395</v>
      </c>
      <c r="I19" s="1113"/>
      <c r="J19" s="1114"/>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13"/>
      <c r="J35" s="1113"/>
    </row>
    <row r="36" spans="1:11" s="43" customFormat="1">
      <c r="A36" s="449" t="s">
        <v>540</v>
      </c>
      <c r="B36" s="47"/>
      <c r="D36" s="143" t="s">
        <v>395</v>
      </c>
      <c r="I36" s="1113"/>
      <c r="J36" s="1113"/>
    </row>
    <row r="37" spans="1:11" s="43" customFormat="1">
      <c r="A37" s="449" t="s">
        <v>78</v>
      </c>
      <c r="B37" s="47"/>
      <c r="D37" s="143" t="s">
        <v>395</v>
      </c>
      <c r="I37" s="1113"/>
      <c r="J37" s="1113"/>
    </row>
    <row r="38" spans="1:11" s="43" customFormat="1">
      <c r="A38" s="449" t="s">
        <v>541</v>
      </c>
      <c r="B38" s="47"/>
      <c r="D38" s="143" t="s">
        <v>395</v>
      </c>
      <c r="I38" s="1113"/>
      <c r="J38" s="1113"/>
      <c r="K38" s="58"/>
    </row>
    <row r="39" spans="1:11" s="43" customFormat="1">
      <c r="A39" s="449" t="s">
        <v>77</v>
      </c>
      <c r="B39" s="47"/>
      <c r="D39" s="143" t="s">
        <v>395</v>
      </c>
      <c r="I39" s="1113"/>
      <c r="J39" s="1114"/>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Meynaerts Erika</cp:lastModifiedBy>
  <dcterms:created xsi:type="dcterms:W3CDTF">2013-05-17T14:24:21Z</dcterms:created>
  <dcterms:modified xsi:type="dcterms:W3CDTF">2018-08-01T12:29:21Z</dcterms:modified>
</cp:coreProperties>
</file>