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B81" s="1"/>
  <c r="C13" i="15"/>
  <c r="C16" s="1"/>
  <c r="D10" i="14" s="1"/>
  <c r="C18" i="16"/>
  <c r="C8" i="48" s="1"/>
  <c r="N16" i="16"/>
  <c r="B13" i="15"/>
  <c r="F6" i="17"/>
  <c r="D16" i="16"/>
  <c r="B8" i="9"/>
  <c r="J15" i="16"/>
  <c r="O80" i="14"/>
  <c r="J8" i="18"/>
  <c r="K68" i="14" s="1"/>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C100" i="18"/>
  <c r="G100"/>
  <c r="F100"/>
  <c r="E31" i="20"/>
  <c r="F43" i="14" s="1"/>
  <c r="H14" i="22"/>
  <c r="F8" i="17"/>
  <c r="G22" i="14" s="1"/>
  <c r="D100" i="18"/>
  <c r="H100"/>
  <c r="B100"/>
  <c r="C7" s="1"/>
  <c r="E9" i="14"/>
  <c r="J9"/>
  <c r="J15" s="1"/>
  <c r="N9"/>
  <c r="N15" s="1"/>
  <c r="I11" i="48"/>
  <c r="M11"/>
  <c r="M28" s="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H15"/>
  <c r="L15"/>
  <c r="P20"/>
  <c r="K20"/>
  <c r="G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I24"/>
  <c r="G81" i="14"/>
  <c r="D79"/>
  <c r="H79"/>
  <c r="H81" s="1"/>
  <c r="L79"/>
  <c r="L81" s="1"/>
  <c r="F79"/>
  <c r="J79"/>
  <c r="E68"/>
  <c r="E69" s="1"/>
  <c r="I68"/>
  <c r="I69" s="1"/>
  <c r="M68"/>
  <c r="M69" s="1"/>
  <c r="D19" i="18"/>
  <c r="H19"/>
  <c r="L19"/>
  <c r="B68" i="14"/>
  <c r="G68"/>
  <c r="G69" s="1"/>
  <c r="E81"/>
  <c r="I81"/>
  <c r="M81"/>
  <c r="F19" i="18"/>
  <c r="D11" i="14"/>
  <c r="C4" i="48"/>
  <c r="M17" i="18"/>
  <c r="M18"/>
  <c r="D13" i="14"/>
  <c r="N8" i="17" l="1"/>
  <c r="N5"/>
  <c r="L5"/>
  <c r="L8" s="1"/>
  <c r="E19" i="18"/>
  <c r="B19"/>
  <c r="I16"/>
  <c r="F81" i="14"/>
  <c r="D16" i="15"/>
  <c r="L29" i="48"/>
  <c r="G31" i="20"/>
  <c r="H43" i="14" s="1"/>
  <c r="O78"/>
  <c r="M8" i="18"/>
  <c r="K14" i="48"/>
  <c r="F7"/>
  <c r="F24" s="1"/>
  <c r="L30"/>
  <c r="B35" i="13"/>
  <c r="D81" i="14"/>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L7" l="1"/>
  <c r="L24" s="1"/>
  <c r="M22" i="14"/>
  <c r="L12" i="17"/>
  <c r="M48" i="14" s="1"/>
  <c r="J78"/>
  <c r="I19" i="18"/>
  <c r="O22" i="14"/>
  <c r="N12" i="17"/>
  <c r="O48" i="14" s="1"/>
  <c r="N7" i="48"/>
  <c r="N24" s="1"/>
  <c r="C14"/>
  <c r="M16" i="18"/>
  <c r="M19" s="1"/>
  <c r="E7" i="48"/>
  <c r="E24" s="1"/>
  <c r="R22" i="14"/>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81" i="14" l="1"/>
  <c r="C78"/>
  <c r="C81" s="1"/>
  <c r="Q7" i="48"/>
  <c r="J5"/>
  <c r="J22" s="1"/>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F22" i="16"/>
  <c r="G39" i="14" s="1"/>
  <c r="G41" s="1"/>
  <c r="F8" i="48"/>
  <c r="N25"/>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<sst xmlns="http://schemas.openxmlformats.org/spreadsheetml/2006/main" count="2038" uniqueCount="900">
  <si>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</si>
  <si>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</si>
  <si>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</si>
  <si>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</si>
  <si>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</si>
  <si>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</si>
  <si>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</si>
  <si>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</si>
  <si>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</si>
  <si>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</si>
  <si>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</si>
  <si>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</si>
  <si>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</si>
  <si>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</si>
  <si>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</si>
  <si>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</si>
  <si>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</si>
  <si>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</si>
  <si>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</si>
  <si>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</si>
  <si>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</si>
  <si>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</si>
  <si>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</si>
  <si>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</si>
  <si>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</si>
  <si>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</si>
  <si>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</si>
  <si>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</si>
  <si>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</si>
  <si>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</si>
  <si>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</si>
  <si>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</si>
  <si>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</si>
  <si>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</si>
  <si>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</si>
  <si>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</si>
  <si>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</si>
  <si>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</si>
  <si>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</si>
  <si>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</si>
  <si>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</si>
  <si>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</si>
  <si>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</si>
  <si>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</si>
  <si>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</si>
  <si>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</si>
  <si>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</si>
  <si>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</si>
  <si>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</si>
  <si>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</si>
  <si>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</si>
  <si>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</si>
  <si>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</si>
  <si>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</si>
  <si>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</si>
  <si>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</si>
  <si>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</si>
  <si>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</si>
  <si>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</si>
  <si>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</si>
  <si>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</si>
  <si>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</si>
  <si>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</si>
  <si>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</si>
  <si>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</si>
  <si>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</si>
  <si>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</si>
  <si>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</si>
  <si>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</si>
  <si>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</si>
  <si>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</si>
  <si>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</si>
  <si>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</si>
  <si>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</si>
  <si>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</si>
  <si>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</si>
  <si>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</si>
  <si>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</si>
  <si>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</si>
  <si>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</si>
  <si>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</si>
  <si>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</si>
  <si>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</si>
  <si>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</si>
  <si>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</si>
  <si>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</si>
  <si>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</si>
  <si>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</si>
  <si>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</si>
  <si>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</si>
  <si>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</si>
  <si>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</si>
  <si>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</si>
  <si>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</si>
  <si>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</si>
  <si>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</si>
  <si>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</si>
  <si>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</si>
  <si>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</si>
  <si>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</si>
  <si>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</si>
  <si>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</si>
  <si>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</si>
  <si>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</si>
  <si>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</si>
  <si>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</si>
  <si>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</si>
  <si>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</si>
  <si>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</si>
  <si>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</si>
  <si>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</si>
  <si>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</si>
  <si>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</si>
  <si>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</si>
  <si>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</si>
  <si>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</si>
  <si>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</si>
  <si>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</si>
  <si>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</si>
  <si>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</si>
  <si>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</si>
  <si>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</si>
  <si>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</si>
  <si>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</si>
  <si>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</si>
  <si>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</si>
  <si>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</si>
  <si>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</si>
  <si>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</si>
  <si>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</si>
  <si>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</si>
  <si>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</si>
  <si>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</si>
  <si>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</si>
  <si>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</si>
  <si>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</si>
  <si>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</si>
  <si>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</si>
  <si>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</si>
  <si>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</si>
  <si>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</si>
  <si>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</si>
  <si>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</si>
  <si>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</si>
  <si>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</si>
  <si>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</si>
  <si>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</si>
  <si>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</si>
  <si>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</si>
  <si>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</si>
  <si>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</si>
  <si>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</si>
  <si>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</si>
  <si>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</si>
  <si>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</si>
  <si>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</si>
  <si>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</si>
  <si>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</si>
  <si>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</si>
  <si>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</si>
  <si>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</si>
  <si>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</si>
  <si>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</si>
  <si>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</si>
  <si>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</si>
  <si>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</si>
  <si>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</si>
  <si>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</si>
  <si>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</si>
  <si>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</si>
  <si>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</si>
  <si>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</si>
  <si>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</si>
  <si>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</si>
  <si>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</si>
  <si>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</si>
  <si>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</si>
  <si>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</si>
  <si>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</si>
  <si>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</si>
  <si>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</si>
  <si>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</si>
  <si>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</si>
  <si>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</si>
  <si>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</si>
  <si>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</si>
  <si>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</si>
  <si>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</si>
  <si>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</si>
  <si>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</si>
  <si>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</si>
  <si>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</si>
  <si>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</si>
  <si>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</si>
  <si>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</si>
  <si>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</si>
  <si>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</si>
  <si>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</si>
  <si>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</si>
  <si>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</si>
  <si>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</si>
  <si>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</si>
  <si>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</si>
  <si>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</si>
  <si>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</si>
  <si>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</si>
  <si>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</si>
  <si>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</si>
  <si>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</si>
  <si>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</si>
  <si>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</si>
  <si>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</si>
  <si>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</si>
  <si>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</si>
  <si>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</si>
  <si>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</si>
  <si>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</si>
  <si>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</si>
  <si>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</si>
  <si>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</si>
  <si>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</si>
  <si>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</si>
  <si>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</si>
  <si>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</si>
  <si>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</si>
  <si>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</si>
  <si>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</si>
  <si>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</si>
  <si>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</si>
  <si>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</si>
  <si>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</si>
  <si>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</si>
  <si>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</si>
  <si>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</si>
  <si>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</si>
  <si>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</si>
  <si>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</si>
  <si>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</si>
  <si>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</si>
  <si>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</si>
  <si>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</si>
  <si>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</si>
  <si>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</si>
  <si>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</si>
  <si>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</si>
  <si>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</si>
  <si>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</si>
  <si>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</si>
  <si>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</si>
  <si>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</si>
  <si>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</si>
  <si>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</si>
  <si>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</si>
  <si>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</si>
  <si>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</si>
  <si>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</si>
  <si>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</si>
  <si>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</si>
  <si>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</si>
  <si>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</si>
  <si>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</si>
  <si>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</si>
  <si>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</si>
  <si>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</si>
  <si>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</si>
  <si>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</si>
  <si>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</si>
  <si>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</si>
  <si>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</si>
  <si>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</si>
  <si>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</si>
  <si>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</si>
  <si>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</si>
  <si>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</si>
  <si>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</si>
  <si>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</si>
  <si>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</si>
  <si>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</si>
  <si>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</si>
  <si>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</si>
  <si>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</si>
  <si>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</si>
  <si>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</si>
  <si>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</si>
  <si>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</si>
  <si>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</si>
  <si>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</si>
  <si>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</si>
  <si>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</si>
  <si>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</si>
  <si>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</si>
  <si>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</si>
  <si>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</si>
  <si>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</si>
  <si>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</si>
  <si>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</si>
  <si>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</si>
  <si>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</si>
  <si>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</si>
  <si>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</si>
  <si>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</si>
  <si>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</si>
  <si>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</si>
  <si>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</si>
  <si>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</si>
  <si>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</si>
  <si>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</si>
  <si>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</si>
  <si>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</si>
  <si>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</si>
  <si>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</si>
  <si>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</si>
  <si>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</si>
  <si>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</si>
  <si>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</si>
  <si>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</si>
  <si>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</si>
  <si>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</si>
  <si>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</si>
  <si>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</si>
  <si>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</si>
  <si>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</si>
  <si>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</si>
  <si>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</si>
  <si>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</si>
  <si>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</si>
  <si>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</si>
  <si>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</si>
  <si>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</si>
  <si>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</si>
  <si>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</si>
  <si>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</si>
  <si>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</si>
  <si>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</si>
  <si>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</si>
  <si>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</si>
  <si>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</si>
  <si>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</si>
  <si>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</si>
  <si>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</si>
  <si>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</si>
  <si>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</si>
  <si>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</si>
  <si>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</si>
  <si>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</si>
  <si>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</si>
  <si>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</si>
  <si>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</si>
  <si>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</si>
  <si>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</si>
  <si>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</si>
  <si>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</si>
  <si>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</si>
  <si>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</si>
  <si>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</si>
  <si>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</si>
  <si>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</si>
  <si>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</si>
  <si>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</si>
  <si>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</si>
  <si>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</si>
  <si>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</si>
  <si>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</si>
  <si>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</si>
  <si>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</si>
  <si>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</si>
  <si>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</si>
  <si>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</si>
  <si>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</si>
  <si>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</si>
  <si>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</si>
  <si>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</si>
  <si>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</si>
  <si>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</si>
  <si>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</si>
  <si>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</si>
  <si>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</si>
  <si>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</si>
  <si>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</si>
  <si>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</si>
  <si>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</si>
  <si>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</si>
  <si>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</si>
  <si>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</si>
  <si>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</si>
  <si>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</si>
  <si>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</si>
  <si>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</si>
  <si>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</si>
  <si>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</si>
  <si>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</si>
  <si>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</si>
  <si>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</si>
  <si>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</si>
  <si>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</si>
  <si>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</si>
  <si>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</si>
  <si>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</si>
  <si>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</si>
  <si>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</si>
  <si>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</si>
  <si>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</si>
  <si>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</si>
  <si>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</si>
  <si>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</si>
  <si>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</si>
  <si>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</si>
  <si>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</si>
  <si>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</si>
  <si>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</si>
  <si>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</si>
  <si>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</si>
  <si>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</si>
  <si>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</si>
  <si>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</si>
  <si>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</si>
  <si>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</si>
  <si>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</si>
  <si>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</si>
  <si>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</si>
  <si>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</si>
  <si>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</si>
  <si>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</si>
  <si>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</si>
  <si>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</si>
  <si>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</si>
  <si>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</si>
  <si>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</si>
  <si>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</si>
  <si>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</si>
  <si>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</si>
  <si>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</si>
  <si>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</si>
  <si>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</si>
  <si>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</si>
  <si>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</si>
  <si>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</si>
  <si>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</si>
  <si>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</si>
  <si>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</si>
  <si>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</si>
  <si>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</si>
  <si>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</si>
  <si>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</si>
  <si>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</si>
  <si>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</si>
  <si>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</si>
  <si>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</si>
  <si>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</si>
  <si>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</si>
  <si>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</si>
  <si>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</si>
  <si>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</si>
  <si>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</si>
  <si>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</si>
  <si>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</si>
  <si>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</si>
  <si>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</si>
  <si>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</si>
  <si>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</si>
  <si>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</si>
  <si>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</si>
  <si>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</si>
  <si>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</si>
  <si>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</si>
  <si>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</si>
  <si>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</si>
  <si>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</si>
  <si>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</si>
  <si>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</si>
  <si>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</si>
  <si>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</si>
  <si>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</si>
  <si>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</si>
  <si>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</si>
  <si>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</si>
  <si>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</si>
  <si>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</si>
  <si>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</si>
  <si>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</si>
  <si>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</si>
  <si>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</si>
  <si>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</si>
  <si>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</si>
  <si>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</si>
  <si>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</si>
  <si>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</si>
  <si>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</si>
  <si>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</si>
  <si>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</si>
  <si>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</si>
  <si>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</si>
  <si>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</si>
  <si>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</si>
  <si>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</si>
  <si>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</si>
  <si>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</si>
  <si>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</si>
  <si>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</si>
  <si>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</si>
  <si>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</si>
  <si>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</si>
  <si>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</si>
  <si>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</si>
  <si>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</si>
  <si>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</si>
  <si>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</si>
  <si>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</si>
  <si>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</si>
  <si>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</si>
  <si>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</si>
  <si>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</si>
  <si>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</si>
  <si>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</si>
  <si>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</si>
  <si>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</si>
  <si>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</si>
  <si>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</si>
  <si>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</si>
  <si>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</si>
  <si>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</si>
  <si>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</si>
  <si>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</si>
  <si>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</si>
  <si>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</si>
  <si>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</si>
  <si>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</si>
  <si>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</si>
  <si>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</si>
  <si>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</si>
  <si>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</si>
  <si>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</si>
  <si>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</si>
  <si>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</si>
  <si>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</si>
  <si>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</si>
  <si>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</si>
  <si>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</si>
  <si>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</si>
  <si>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</si>
  <si>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</si>
  <si>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</si>
  <si>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</si>
  <si>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</si>
  <si>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</si>
  <si>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</si>
  <si>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</si>
  <si>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</si>
  <si>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</si>
  <si>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</si>
  <si>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</si>
  <si>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</si>
  <si>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</si>
  <si>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</si>
  <si>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</si>
  <si>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</si>
  <si>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</si>
  <si>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</si>
  <si>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</si>
  <si>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</si>
  <si>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</si>
  <si>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</si>
  <si>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</si>
  <si>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</si>
  <si>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</si>
  <si>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</si>
  <si>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</si>
  <si>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</si>
  <si>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</si>
  <si>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</si>
  <si>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</si>
  <si>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</si>
  <si>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</si>
  <si>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</si>
  <si>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</si>
  <si>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</si>
  <si>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</si>
  <si>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</si>
  <si>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</si>
  <si>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</si>
  <si>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</si>
  <si>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</si>
  <si>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</si>
  <si>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</si>
  <si>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</si>
  <si>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</si>
  <si>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</si>
  <si>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</si>
  <si>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</si>
  <si>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</si>
  <si>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</si>
  <si>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</si>
  <si>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</si>
  <si>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</si>
  <si>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</si>
  <si>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</si>
  <si>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</si>
  <si>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</si>
  <si>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</si>
  <si>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</si>
  <si>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</si>
  <si>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</si>
  <si>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</si>
  <si>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</si>
  <si>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</si>
  <si>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</si>
  <si>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</si>
  <si>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</si>
  <si>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</si>
  <si>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</si>
  <si>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</si>
  <si>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</si>
  <si>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</si>
  <si>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</si>
  <si>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</si>
  <si>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</si>
  <si>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</si>
  <si>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</si>
  <si>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</si>
  <si>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</si>
  <si>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</si>
  <si>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</si>
  <si>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</si>
  <si>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</si>
  <si>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</si>
  <si>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</si>
  <si>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</si>
  <si>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</si>
  <si>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</si>
  <si>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</si>
  <si>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</si>
  <si>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</si>
  <si>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</si>
  <si>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</si>
  <si>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</si>
  <si>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</si>
  <si>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</si>
  <si>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</si>
  <si>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</si>
  <si>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</si>
  <si>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</si>
  <si>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</si>
  <si>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</si>
  <si>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</si>
  <si>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</si>
  <si>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</si>
  <si>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</si>
  <si>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</si>
  <si>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</si>
  <si>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</si>
  <si>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</si>
  <si>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</si>
  <si>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</si>
  <si>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</si>
  <si>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</si>
  <si>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</si>
  <si>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</si>
  <si>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</si>
  <si>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</si>
  <si>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</si>
  <si>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</si>
  <si>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</si>
  <si>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</si>
  <si>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</si>
  <si>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</si>
  <si>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</si>
  <si>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</si>
  <si>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</si>
  <si>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</si>
  <si>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</si>
  <si>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</si>
  <si>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</si>
  <si>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</si>
  <si>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</si>
  <si>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</si>
  <si>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</si>
  <si>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</si>
  <si>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</si>
  <si>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</si>
  <si>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</si>
  <si>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</si>
  <si>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</si>
  <si>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</si>
  <si>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</si>
  <si>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</si>
  <si>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</si>
  <si>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</si>
  <si>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</si>
  <si>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</si>
  <si>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</si>
  <si>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</si>
  <si>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</si>
  <si>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</si>
  <si>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</si>
  <si>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</si>
  <si>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</si>
  <si>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</si>
  <si>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</si>
  <si>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</si>
  <si>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</si>
  <si>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</si>
  <si>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</si>
  <si>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</si>
  <si>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</si>
  <si>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</si>
  <si>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</si>
  <si>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</si>
  <si>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</si>
  <si>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</si>
  <si>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</si>
  <si>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</si>
  <si>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</si>
  <si>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</si>
  <si>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</si>
  <si>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</si>
  <si>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</si>
  <si>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</si>
  <si>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</si>
  <si>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</si>
  <si>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</si>
  <si>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</si>
  <si>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</si>
  <si>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</si>
  <si>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</si>
  <si>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</si>
  <si>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</si>
  <si>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</si>
  <si>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</si>
  <si>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</si>
  <si>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</si>
  <si>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</si>
  <si>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</si>
  <si>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</si>
  <si>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</si>
  <si>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</si>
  <si>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</si>
  <si>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</si>
  <si>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</si>
  <si>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</si>
  <si>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</si>
  <si>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</si>
  <si>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</si>
  <si>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</si>
  <si>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</si>
  <si>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</si>
  <si>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</si>
  <si>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</si>
  <si>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</si>
  <si>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</si>
  <si>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</si>
  <si>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</si>
  <si>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</si>
  <si>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</si>
  <si>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</si>
  <si>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</si>
  <si>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</si>
  <si>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</si>
  <si>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</si>
  <si>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</si>
  <si>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</si>
  <si>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</si>
  <si>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</si>
  <si>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</si>
  <si>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</si>
  <si>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</si>
  <si>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</si>
  <si>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</si>
  <si>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</si>
  <si>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</si>
  <si>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</si>
  <si>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</si>
  <si>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</si>
  <si>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</si>
  <si>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</si>
  <si>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</si>
  <si>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</si>
  <si>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</si>
  <si>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</si>
  <si>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</si>
  <si>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</si>
  <si>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</si>
  <si>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</si>
  <si>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</si>
  <si>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</si>
  <si>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</si>
  <si>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</si>
  <si>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</si>
  <si>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</si>
  <si>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</si>
  <si>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</si>
  <si>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</si>
  <si>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</si>
  <si>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</si>
  <si>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</si>
  <si>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</si>
  <si>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</si>
  <si>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</si>
  <si>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</si>
  <si>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</si>
  <si>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</si>
  <si>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</si>
  <si>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</si>
  <si>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</si>
  <si>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</si>
  <si>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</si>
  <si>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</si>
  <si>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</si>
  <si>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</si>
  <si>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</si>
  <si>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</si>
  <si>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</si>
  <si>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</si>
  <si>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</si>
  <si>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</si>
  <si>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</si>
  <si>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</si>
  <si>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</si>
  <si>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</si>
  <si>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</si>
  <si>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</si>
  <si>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</si>
  <si>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</si>
  <si>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</si>
  <si>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</si>
  <si>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</si>
  <si>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</si>
  <si>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</si>
  <si>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</si>
  <si>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</si>
  <si>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</si>
  <si>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</si>
  <si>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</si>
  <si>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</si>
  <si>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</si>
  <si>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</si>
  <si>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</si>
  <si>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</si>
  <si>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</si>
  <si>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</si>
  <si>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</si>
  <si>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</si>
  <si>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</si>
  <si>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</si>
  <si>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</si>
  <si>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</si>
  <si>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</si>
  <si>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</si>
  <si>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</si>
  <si>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</si>
  <si>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</si>
  <si>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</si>
  <si>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</si>
  <si>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</si>
  <si>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</si>
  <si>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</si>
  <si>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</si>
  <si>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</si>
  <si>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</si>
  <si>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</si>
  <si>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</si>
  <si>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</si>
  <si>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</si>
  <si>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</si>
  <si>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</si>
  <si>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</si>
  <si>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</si>
  <si>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</si>
  <si>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</si>
  <si>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</si>
  <si>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</si>
  <si>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</si>
  <si>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</si>
  <si>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</si>
  <si>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</si>
  <si>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</si>
  <si>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</si>
  <si>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</si>
  <si>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</si>
  <si>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</si>
  <si>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</si>
  <si>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</si>
  <si>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</si>
  <si>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</si>
  <si>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</si>
  <si>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</si>
  <si>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71004</t>
  </si>
  <si>
    <t>BERINGEN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</si>
  <si>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</si>
  <si>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</si>
  <si>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</si>
  <si>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</si>
  <si>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</si>
  <si>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</si>
  <si>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</si>
  <si>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Alfons Schurmans</t>
  </si>
  <si>
    <t>Beverlosesteenweg 174 , 3583 Paal</t>
  </si>
  <si>
    <t>WKK-0223 Alfons Schurmans</t>
  </si>
  <si>
    <t>interne verbrandingsmotor</t>
  </si>
  <si>
    <t>WKK interne verbrandinsgmotor (gas)</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</si>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</sst>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71004</v>
      </c>
      <c r="B6" s="396"/>
      <c r="C6" s="397"/>
    </row>
    <row r="7" spans="1:7" s="394" customFormat="1" ht="15.75" customHeight="1">
      <c r="A7" s="398" t="str">
        <f>txtMunicipality</f>
        <v>BERINGEN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41665.216000000008</v>
      </c>
      <c r="D10" s="702">
        <f ca="1">tertiair!C16</f>
        <v>64.285714285714292</v>
      </c>
      <c r="E10" s="702">
        <f ca="1">tertiair!D16</f>
        <v>30466.742705428573</v>
      </c>
      <c r="F10" s="702">
        <f>tertiair!E16</f>
        <v>784.57847645438619</v>
      </c>
      <c r="G10" s="702">
        <f ca="1">tertiair!F16</f>
        <v>7553.8129410233696</v>
      </c>
      <c r="H10" s="702">
        <f>tertiair!G16</f>
        <v>0</v>
      </c>
      <c r="I10" s="702">
        <f>tertiair!H16</f>
        <v>0</v>
      </c>
      <c r="J10" s="702">
        <f>tertiair!I16</f>
        <v>0</v>
      </c>
      <c r="K10" s="702">
        <f>tertiair!J16</f>
        <v>0</v>
      </c>
      <c r="L10" s="702">
        <f>tertiair!K16</f>
        <v>0</v>
      </c>
      <c r="M10" s="702">
        <f ca="1">tertiair!L16</f>
        <v>0</v>
      </c>
      <c r="N10" s="702">
        <f>tertiair!M16</f>
        <v>0</v>
      </c>
      <c r="O10" s="702">
        <f ca="1">tertiair!N16</f>
        <v>1482.704340026824</v>
      </c>
      <c r="P10" s="702">
        <f>tertiair!O16</f>
        <v>1.5633333333333335</v>
      </c>
      <c r="Q10" s="703">
        <f>tertiair!P16</f>
        <v>19.066666666666666</v>
      </c>
      <c r="R10" s="705">
        <f ca="1">SUM(C10:Q10)</f>
        <v>82037.970177218886</v>
      </c>
      <c r="S10" s="67"/>
    </row>
    <row r="11" spans="1:19" s="457" customFormat="1">
      <c r="A11" s="858" t="s">
        <v>226</v>
      </c>
      <c r="B11" s="863"/>
      <c r="C11" s="702">
        <f>huishoudens!B8</f>
        <v>74386.148390793809</v>
      </c>
      <c r="D11" s="702">
        <f>huishoudens!C8</f>
        <v>0</v>
      </c>
      <c r="E11" s="702">
        <f>huishoudens!D8</f>
        <v>110562.242296</v>
      </c>
      <c r="F11" s="702">
        <f>huishoudens!E8</f>
        <v>5284.3287818199979</v>
      </c>
      <c r="G11" s="702">
        <f>huishoudens!F8</f>
        <v>143881.28798061222</v>
      </c>
      <c r="H11" s="702">
        <f>huishoudens!G8</f>
        <v>0</v>
      </c>
      <c r="I11" s="702">
        <f>huishoudens!H8</f>
        <v>0</v>
      </c>
      <c r="J11" s="702">
        <f>huishoudens!I8</f>
        <v>0</v>
      </c>
      <c r="K11" s="702">
        <f>huishoudens!J8</f>
        <v>0</v>
      </c>
      <c r="L11" s="702">
        <f>huishoudens!K8</f>
        <v>0</v>
      </c>
      <c r="M11" s="702">
        <f>huishoudens!L8</f>
        <v>0</v>
      </c>
      <c r="N11" s="702">
        <f>huishoudens!M8</f>
        <v>0</v>
      </c>
      <c r="O11" s="702">
        <f>huishoudens!N8</f>
        <v>32456.392476195437</v>
      </c>
      <c r="P11" s="702">
        <f>huishoudens!O8</f>
        <v>214.17666666666668</v>
      </c>
      <c r="Q11" s="703">
        <f>huishoudens!P8</f>
        <v>610.13333333333333</v>
      </c>
      <c r="R11" s="705">
        <f>SUM(C11:Q11)</f>
        <v>367394.70992542146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41111.575000000012</v>
      </c>
      <c r="D13" s="702">
        <f>industrie!C18</f>
        <v>0</v>
      </c>
      <c r="E13" s="702">
        <f>industrie!D18</f>
        <v>33824.626571999994</v>
      </c>
      <c r="F13" s="702">
        <f>industrie!E18</f>
        <v>773.84445541695663</v>
      </c>
      <c r="G13" s="702">
        <f>industrie!F18</f>
        <v>9218.3450308162337</v>
      </c>
      <c r="H13" s="702">
        <f>industrie!G18</f>
        <v>0</v>
      </c>
      <c r="I13" s="702">
        <f>industrie!H18</f>
        <v>0</v>
      </c>
      <c r="J13" s="702">
        <f>industrie!I18</f>
        <v>0</v>
      </c>
      <c r="K13" s="702">
        <f>industrie!J18</f>
        <v>145.50089138655778</v>
      </c>
      <c r="L13" s="702">
        <f>industrie!K18</f>
        <v>0</v>
      </c>
      <c r="M13" s="702">
        <f>industrie!L18</f>
        <v>0</v>
      </c>
      <c r="N13" s="702">
        <f>industrie!M18</f>
        <v>0</v>
      </c>
      <c r="O13" s="702">
        <f>industrie!N18</f>
        <v>490.55265672971217</v>
      </c>
      <c r="P13" s="702">
        <f>industrie!O18</f>
        <v>0</v>
      </c>
      <c r="Q13" s="703">
        <f>industrie!P18</f>
        <v>0</v>
      </c>
      <c r="R13" s="705">
        <f>SUM(C13:Q13)</f>
        <v>85564.444606349454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157162.93939079382</v>
      </c>
      <c r="D15" s="707">
        <f t="shared" ref="D15:Q15" ca="1" si="0">SUM(D9:D14)</f>
        <v>64.285714285714292</v>
      </c>
      <c r="E15" s="707">
        <f t="shared" ca="1" si="0"/>
        <v>174853.61157342856</v>
      </c>
      <c r="F15" s="707">
        <f t="shared" si="0"/>
        <v>6842.7517136913402</v>
      </c>
      <c r="G15" s="707">
        <f t="shared" ca="1" si="0"/>
        <v>160653.44595245185</v>
      </c>
      <c r="H15" s="707">
        <f t="shared" si="0"/>
        <v>0</v>
      </c>
      <c r="I15" s="707">
        <f t="shared" si="0"/>
        <v>0</v>
      </c>
      <c r="J15" s="707">
        <f t="shared" si="0"/>
        <v>0</v>
      </c>
      <c r="K15" s="707">
        <f t="shared" si="0"/>
        <v>145.50089138655778</v>
      </c>
      <c r="L15" s="707">
        <f t="shared" si="0"/>
        <v>0</v>
      </c>
      <c r="M15" s="707">
        <f t="shared" ca="1" si="0"/>
        <v>0</v>
      </c>
      <c r="N15" s="707">
        <f t="shared" si="0"/>
        <v>0</v>
      </c>
      <c r="O15" s="707">
        <f t="shared" ca="1" si="0"/>
        <v>34429.649472951976</v>
      </c>
      <c r="P15" s="707">
        <f t="shared" si="0"/>
        <v>215.74</v>
      </c>
      <c r="Q15" s="708">
        <f t="shared" si="0"/>
        <v>629.20000000000005</v>
      </c>
      <c r="R15" s="709">
        <f ca="1">SUM(R9:R14)</f>
        <v>534997.12470898987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3804.1201545478343</v>
      </c>
      <c r="I18" s="702">
        <f>transport!H54</f>
        <v>0</v>
      </c>
      <c r="J18" s="702">
        <f>transport!I54</f>
        <v>0</v>
      </c>
      <c r="K18" s="702">
        <f>transport!J54</f>
        <v>0</v>
      </c>
      <c r="L18" s="702">
        <f>transport!K54</f>
        <v>0</v>
      </c>
      <c r="M18" s="702">
        <f>transport!L54</f>
        <v>0</v>
      </c>
      <c r="N18" s="702">
        <f>transport!M54</f>
        <v>162.15311527750546</v>
      </c>
      <c r="O18" s="702">
        <f>transport!N54</f>
        <v>0</v>
      </c>
      <c r="P18" s="702">
        <f>transport!O54</f>
        <v>0</v>
      </c>
      <c r="Q18" s="703">
        <f>transport!P54</f>
        <v>0</v>
      </c>
      <c r="R18" s="705">
        <f>SUM(C18:Q18)</f>
        <v>3966.2732698253399</v>
      </c>
      <c r="S18" s="67"/>
    </row>
    <row r="19" spans="1:19" s="457" customFormat="1" ht="15" thickBot="1">
      <c r="A19" s="858" t="s">
        <v>308</v>
      </c>
      <c r="B19" s="863"/>
      <c r="C19" s="711">
        <f>transport!B14</f>
        <v>2.0717896317136519</v>
      </c>
      <c r="D19" s="711">
        <f>transport!C14</f>
        <v>0</v>
      </c>
      <c r="E19" s="711">
        <f>transport!D14</f>
        <v>11.294091346592198</v>
      </c>
      <c r="F19" s="711">
        <f>transport!E14</f>
        <v>1210.1377738990684</v>
      </c>
      <c r="G19" s="711">
        <f>transport!F14</f>
        <v>0</v>
      </c>
      <c r="H19" s="711">
        <f>transport!G14</f>
        <v>202389.72633660171</v>
      </c>
      <c r="I19" s="711">
        <f>transport!H14</f>
        <v>37870.835043914638</v>
      </c>
      <c r="J19" s="711">
        <f>transport!I14</f>
        <v>0</v>
      </c>
      <c r="K19" s="711">
        <f>transport!J14</f>
        <v>0</v>
      </c>
      <c r="L19" s="711">
        <f>transport!K14</f>
        <v>0</v>
      </c>
      <c r="M19" s="711">
        <f>transport!L14</f>
        <v>0</v>
      </c>
      <c r="N19" s="711">
        <f>transport!M14</f>
        <v>10491.751419840835</v>
      </c>
      <c r="O19" s="711">
        <f>transport!N14</f>
        <v>0</v>
      </c>
      <c r="P19" s="711">
        <f>transport!O14</f>
        <v>0</v>
      </c>
      <c r="Q19" s="712">
        <f>transport!P14</f>
        <v>0</v>
      </c>
      <c r="R19" s="713">
        <f>SUM(C19:Q19)</f>
        <v>251975.81645523457</v>
      </c>
      <c r="S19" s="67"/>
    </row>
    <row r="20" spans="1:19" s="457" customFormat="1" ht="15.75" thickBot="1">
      <c r="A20" s="714" t="s">
        <v>231</v>
      </c>
      <c r="B20" s="866"/>
      <c r="C20" s="861">
        <f>SUM(C17:C19)</f>
        <v>2.0717896317136519</v>
      </c>
      <c r="D20" s="715">
        <f t="shared" ref="D20:R20" si="1">SUM(D17:D19)</f>
        <v>0</v>
      </c>
      <c r="E20" s="715">
        <f t="shared" si="1"/>
        <v>11.294091346592198</v>
      </c>
      <c r="F20" s="715">
        <f t="shared" si="1"/>
        <v>1210.1377738990684</v>
      </c>
      <c r="G20" s="715">
        <f t="shared" si="1"/>
        <v>0</v>
      </c>
      <c r="H20" s="715">
        <f t="shared" si="1"/>
        <v>206193.84649114954</v>
      </c>
      <c r="I20" s="715">
        <f t="shared" si="1"/>
        <v>37870.835043914638</v>
      </c>
      <c r="J20" s="715">
        <f t="shared" si="1"/>
        <v>0</v>
      </c>
      <c r="K20" s="715">
        <f t="shared" si="1"/>
        <v>0</v>
      </c>
      <c r="L20" s="715">
        <f t="shared" si="1"/>
        <v>0</v>
      </c>
      <c r="M20" s="715">
        <f t="shared" si="1"/>
        <v>0</v>
      </c>
      <c r="N20" s="715">
        <f t="shared" si="1"/>
        <v>10653.904535118341</v>
      </c>
      <c r="O20" s="715">
        <f t="shared" si="1"/>
        <v>0</v>
      </c>
      <c r="P20" s="715">
        <f t="shared" si="1"/>
        <v>0</v>
      </c>
      <c r="Q20" s="716">
        <f t="shared" si="1"/>
        <v>0</v>
      </c>
      <c r="R20" s="717">
        <f t="shared" si="1"/>
        <v>255942.08972505992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812.85500000000002</v>
      </c>
      <c r="D22" s="711">
        <f>+landbouw!C8</f>
        <v>0</v>
      </c>
      <c r="E22" s="711">
        <f>+landbouw!D8</f>
        <v>514.42052200000001</v>
      </c>
      <c r="F22" s="711">
        <f>+landbouw!E8</f>
        <v>8.5123935359312437</v>
      </c>
      <c r="G22" s="711">
        <f>+landbouw!F8</f>
        <v>4174.952706241962</v>
      </c>
      <c r="H22" s="711">
        <f>+landbouw!G8</f>
        <v>0</v>
      </c>
      <c r="I22" s="711">
        <f>+landbouw!H8</f>
        <v>0</v>
      </c>
      <c r="J22" s="711">
        <f>+landbouw!I8</f>
        <v>0</v>
      </c>
      <c r="K22" s="711">
        <f>+landbouw!J8</f>
        <v>72.595237243657323</v>
      </c>
      <c r="L22" s="711">
        <f>+landbouw!K8</f>
        <v>0</v>
      </c>
      <c r="M22" s="711">
        <f>+landbouw!L8</f>
        <v>0</v>
      </c>
      <c r="N22" s="711">
        <f>+landbouw!M8</f>
        <v>0</v>
      </c>
      <c r="O22" s="711">
        <f>+landbouw!N8</f>
        <v>0</v>
      </c>
      <c r="P22" s="711">
        <f>+landbouw!O8</f>
        <v>0</v>
      </c>
      <c r="Q22" s="712">
        <f>+landbouw!P8</f>
        <v>0</v>
      </c>
      <c r="R22" s="713">
        <f>SUM(C22:Q22)</f>
        <v>5583.3358590215512</v>
      </c>
      <c r="S22" s="67"/>
    </row>
    <row r="23" spans="1:19" s="457" customFormat="1" ht="17.25" thickTop="1" thickBot="1">
      <c r="A23" s="718" t="s">
        <v>116</v>
      </c>
      <c r="B23" s="852"/>
      <c r="C23" s="719">
        <f ca="1">C20+C15+C22</f>
        <v>157977.86618042554</v>
      </c>
      <c r="D23" s="719">
        <f t="shared" ref="D23:Q23" ca="1" si="2">D20+D15+D22</f>
        <v>64.285714285714292</v>
      </c>
      <c r="E23" s="719">
        <f t="shared" ca="1" si="2"/>
        <v>175379.32618677514</v>
      </c>
      <c r="F23" s="719">
        <f t="shared" si="2"/>
        <v>8061.4018811263404</v>
      </c>
      <c r="G23" s="719">
        <f t="shared" ca="1" si="2"/>
        <v>164828.3986586938</v>
      </c>
      <c r="H23" s="719">
        <f t="shared" si="2"/>
        <v>206193.84649114954</v>
      </c>
      <c r="I23" s="719">
        <f t="shared" si="2"/>
        <v>37870.835043914638</v>
      </c>
      <c r="J23" s="719">
        <f t="shared" si="2"/>
        <v>0</v>
      </c>
      <c r="K23" s="719">
        <f t="shared" si="2"/>
        <v>218.09612863021511</v>
      </c>
      <c r="L23" s="719">
        <f t="shared" si="2"/>
        <v>0</v>
      </c>
      <c r="M23" s="719">
        <f t="shared" ca="1" si="2"/>
        <v>0</v>
      </c>
      <c r="N23" s="719">
        <f t="shared" si="2"/>
        <v>10653.904535118341</v>
      </c>
      <c r="O23" s="719">
        <f t="shared" ca="1" si="2"/>
        <v>34429.649472951976</v>
      </c>
      <c r="P23" s="719">
        <f t="shared" si="2"/>
        <v>215.74</v>
      </c>
      <c r="Q23" s="720">
        <f t="shared" si="2"/>
        <v>629.20000000000005</v>
      </c>
      <c r="R23" s="721">
        <f ca="1">R20+R15+R22</f>
        <v>796522.55029307131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8699.1148597110077</v>
      </c>
      <c r="D36" s="702">
        <f ca="1">tertiair!C20</f>
        <v>15.277310924369752</v>
      </c>
      <c r="E36" s="702">
        <f ca="1">tertiair!D20</f>
        <v>6154.2820264965721</v>
      </c>
      <c r="F36" s="702">
        <f>tertiair!E20</f>
        <v>178.09931415514566</v>
      </c>
      <c r="G36" s="702">
        <f ca="1">tertiair!F20</f>
        <v>2016.8680552532398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17063.641566540336</v>
      </c>
    </row>
    <row r="37" spans="1:18">
      <c r="A37" s="873" t="s">
        <v>226</v>
      </c>
      <c r="B37" s="880"/>
      <c r="C37" s="702">
        <f ca="1">huishoudens!B12</f>
        <v>15530.7882916777</v>
      </c>
      <c r="D37" s="702">
        <f ca="1">huishoudens!C12</f>
        <v>0</v>
      </c>
      <c r="E37" s="702">
        <f>huishoudens!D12</f>
        <v>22333.572943792002</v>
      </c>
      <c r="F37" s="702">
        <f>huishoudens!E12</f>
        <v>1199.5426334731396</v>
      </c>
      <c r="G37" s="702">
        <f>huishoudens!F12</f>
        <v>38416.303890823467</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77480.207759766316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8583.5223556413002</v>
      </c>
      <c r="D39" s="702">
        <f ca="1">industrie!C22</f>
        <v>0</v>
      </c>
      <c r="E39" s="702">
        <f>industrie!D22</f>
        <v>6832.5745675439994</v>
      </c>
      <c r="F39" s="702">
        <f>industrie!E22</f>
        <v>175.66269137964917</v>
      </c>
      <c r="G39" s="702">
        <f>industrie!F22</f>
        <v>2461.2981232279344</v>
      </c>
      <c r="H39" s="702">
        <f>industrie!G22</f>
        <v>0</v>
      </c>
      <c r="I39" s="702">
        <f>industrie!H22</f>
        <v>0</v>
      </c>
      <c r="J39" s="702">
        <f>industrie!I22</f>
        <v>0</v>
      </c>
      <c r="K39" s="702">
        <f>industrie!J22</f>
        <v>51.507315550841454</v>
      </c>
      <c r="L39" s="702">
        <f>industrie!K22</f>
        <v>0</v>
      </c>
      <c r="M39" s="702">
        <f>industrie!L22</f>
        <v>0</v>
      </c>
      <c r="N39" s="702">
        <f>industrie!M22</f>
        <v>0</v>
      </c>
      <c r="O39" s="702">
        <f>industrie!N22</f>
        <v>0</v>
      </c>
      <c r="P39" s="702">
        <f>industrie!O22</f>
        <v>0</v>
      </c>
      <c r="Q39" s="812">
        <f>industrie!P22</f>
        <v>0</v>
      </c>
      <c r="R39" s="906">
        <f ca="1">SUM(C39:Q39)</f>
        <v>18104.565053343726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32813.425507030013</v>
      </c>
      <c r="D41" s="747">
        <f t="shared" ref="D41:R41" ca="1" si="4">SUM(D35:D40)</f>
        <v>15.277310924369752</v>
      </c>
      <c r="E41" s="747">
        <f t="shared" ca="1" si="4"/>
        <v>35320.42953783257</v>
      </c>
      <c r="F41" s="747">
        <f t="shared" si="4"/>
        <v>1553.3046390079346</v>
      </c>
      <c r="G41" s="747">
        <f t="shared" ca="1" si="4"/>
        <v>42894.47006930464</v>
      </c>
      <c r="H41" s="747">
        <f t="shared" si="4"/>
        <v>0</v>
      </c>
      <c r="I41" s="747">
        <f t="shared" si="4"/>
        <v>0</v>
      </c>
      <c r="J41" s="747">
        <f t="shared" si="4"/>
        <v>0</v>
      </c>
      <c r="K41" s="747">
        <f t="shared" si="4"/>
        <v>51.507315550841454</v>
      </c>
      <c r="L41" s="747">
        <f t="shared" si="4"/>
        <v>0</v>
      </c>
      <c r="M41" s="747">
        <f t="shared" ca="1" si="4"/>
        <v>0</v>
      </c>
      <c r="N41" s="747">
        <f t="shared" si="4"/>
        <v>0</v>
      </c>
      <c r="O41" s="747">
        <f t="shared" ca="1" si="4"/>
        <v>0</v>
      </c>
      <c r="P41" s="747">
        <f t="shared" si="4"/>
        <v>0</v>
      </c>
      <c r="Q41" s="748">
        <f t="shared" si="4"/>
        <v>0</v>
      </c>
      <c r="R41" s="749">
        <f t="shared" ca="1" si="4"/>
        <v>112648.41437965038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1015.7000812642718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1015.7000812642718</v>
      </c>
    </row>
    <row r="45" spans="1:18" ht="15" thickBot="1">
      <c r="A45" s="876" t="s">
        <v>308</v>
      </c>
      <c r="B45" s="886"/>
      <c r="C45" s="711">
        <f ca="1">transport!B18</f>
        <v>0.43256072334859424</v>
      </c>
      <c r="D45" s="711">
        <f>transport!C18</f>
        <v>0</v>
      </c>
      <c r="E45" s="711">
        <f>transport!D18</f>
        <v>2.2814064520116242</v>
      </c>
      <c r="F45" s="711">
        <f>transport!E18</f>
        <v>274.70127467508854</v>
      </c>
      <c r="G45" s="711">
        <f>transport!F18</f>
        <v>0</v>
      </c>
      <c r="H45" s="711">
        <f>transport!G18</f>
        <v>54038.056931872663</v>
      </c>
      <c r="I45" s="711">
        <f>transport!H18</f>
        <v>9429.8379259347439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63745.310099657851</v>
      </c>
    </row>
    <row r="46" spans="1:18" ht="15.75" thickBot="1">
      <c r="A46" s="874" t="s">
        <v>231</v>
      </c>
      <c r="B46" s="887"/>
      <c r="C46" s="747">
        <f t="shared" ref="C46:R46" ca="1" si="5">SUM(C43:C45)</f>
        <v>0.43256072334859424</v>
      </c>
      <c r="D46" s="747">
        <f t="shared" ca="1" si="5"/>
        <v>0</v>
      </c>
      <c r="E46" s="747">
        <f t="shared" si="5"/>
        <v>2.2814064520116242</v>
      </c>
      <c r="F46" s="747">
        <f t="shared" si="5"/>
        <v>274.70127467508854</v>
      </c>
      <c r="G46" s="747">
        <f t="shared" si="5"/>
        <v>0</v>
      </c>
      <c r="H46" s="747">
        <f t="shared" si="5"/>
        <v>55053.757013136936</v>
      </c>
      <c r="I46" s="747">
        <f t="shared" si="5"/>
        <v>9429.8379259347439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64761.010180922123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169.71276494259359</v>
      </c>
      <c r="D48" s="702">
        <f ca="1">+landbouw!C12</f>
        <v>0</v>
      </c>
      <c r="E48" s="702">
        <f>+landbouw!D12</f>
        <v>103.912945444</v>
      </c>
      <c r="F48" s="702">
        <f>+landbouw!E12</f>
        <v>1.9323133326563924</v>
      </c>
      <c r="G48" s="702">
        <f>+landbouw!F12</f>
        <v>1114.712372566604</v>
      </c>
      <c r="H48" s="702">
        <f>+landbouw!G12</f>
        <v>0</v>
      </c>
      <c r="I48" s="702">
        <f>+landbouw!H12</f>
        <v>0</v>
      </c>
      <c r="J48" s="702">
        <f>+landbouw!I12</f>
        <v>0</v>
      </c>
      <c r="K48" s="702">
        <f>+landbouw!J12</f>
        <v>25.698713984254692</v>
      </c>
      <c r="L48" s="702">
        <f>+landbouw!K12</f>
        <v>0</v>
      </c>
      <c r="M48" s="702">
        <f>+landbouw!L12</f>
        <v>0</v>
      </c>
      <c r="N48" s="702">
        <f>+landbouw!M12</f>
        <v>0</v>
      </c>
      <c r="O48" s="702">
        <f>+landbouw!N12</f>
        <v>0</v>
      </c>
      <c r="P48" s="702">
        <f>+landbouw!O12</f>
        <v>0</v>
      </c>
      <c r="Q48" s="703">
        <f>+landbouw!P12</f>
        <v>0</v>
      </c>
      <c r="R48" s="745">
        <f ca="1">SUM(C48:Q48)</f>
        <v>1415.9691102701088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32983.570832695958</v>
      </c>
      <c r="D53" s="757">
        <f t="shared" ref="D53:Q53" ca="1" si="6">D41+D46+D48</f>
        <v>15.277310924369752</v>
      </c>
      <c r="E53" s="757">
        <f t="shared" ca="1" si="6"/>
        <v>35426.62388972858</v>
      </c>
      <c r="F53" s="757">
        <f t="shared" si="6"/>
        <v>1829.9382270156796</v>
      </c>
      <c r="G53" s="757">
        <f t="shared" ca="1" si="6"/>
        <v>44009.182441871242</v>
      </c>
      <c r="H53" s="757">
        <f t="shared" si="6"/>
        <v>55053.757013136936</v>
      </c>
      <c r="I53" s="757">
        <f t="shared" si="6"/>
        <v>9429.8379259347439</v>
      </c>
      <c r="J53" s="757">
        <f t="shared" si="6"/>
        <v>0</v>
      </c>
      <c r="K53" s="757">
        <f t="shared" si="6"/>
        <v>77.20602953509615</v>
      </c>
      <c r="L53" s="757">
        <f t="shared" si="6"/>
        <v>0</v>
      </c>
      <c r="M53" s="757">
        <f t="shared" ca="1" si="6"/>
        <v>0</v>
      </c>
      <c r="N53" s="757">
        <f t="shared" si="6"/>
        <v>0</v>
      </c>
      <c r="O53" s="757">
        <f t="shared" ca="1" si="6"/>
        <v>0</v>
      </c>
      <c r="P53" s="757">
        <f>P41+P46+P48</f>
        <v>0</v>
      </c>
      <c r="Q53" s="758">
        <f t="shared" si="6"/>
        <v>0</v>
      </c>
      <c r="R53" s="759">
        <f ca="1">R41+R46+R48</f>
        <v>178825.3936708426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0.20878602572733593</v>
      </c>
      <c r="D55" s="823">
        <f t="shared" ca="1" si="7"/>
        <v>0.23764705882352946</v>
      </c>
      <c r="E55" s="823">
        <f t="shared" ca="1" si="7"/>
        <v>0.20200000000000001</v>
      </c>
      <c r="F55" s="823">
        <f t="shared" si="7"/>
        <v>0.22700000000000004</v>
      </c>
      <c r="G55" s="823">
        <f t="shared" ca="1" si="7"/>
        <v>0.26700000000000002</v>
      </c>
      <c r="H55" s="823">
        <f t="shared" si="7"/>
        <v>0.26700000000000002</v>
      </c>
      <c r="I55" s="823">
        <f t="shared" si="7"/>
        <v>0.24899999999999997</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8734.3290082585845</v>
      </c>
      <c r="C66" s="779">
        <f>'lokale energieproductie'!B6</f>
        <v>8734.3290082585845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45</v>
      </c>
      <c r="C67" s="778">
        <f>B67*IFERROR(SUM(J67:L67)/SUM(D67:M67),0)</f>
        <v>0</v>
      </c>
      <c r="D67" s="810">
        <f>'lokale energieproductie'!C7</f>
        <v>52.941176470588239</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10.694117647058825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8779.3290082585845</v>
      </c>
      <c r="C69" s="787">
        <f>SUM(C64:C68)</f>
        <v>8734.3290082585845</v>
      </c>
      <c r="D69" s="788">
        <f t="shared" ref="D69:M69" si="8">SUM(D67:D68)</f>
        <v>52.941176470588239</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10.694117647058825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64.285714285714292</v>
      </c>
      <c r="C78" s="801">
        <f>B78*IFERROR(SUM(I78:L78)/SUM(D78:M78),0)</f>
        <v>0</v>
      </c>
      <c r="D78" s="816">
        <f>'lokale energieproductie'!C16</f>
        <v>75.630252100840352</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15.277310924369752</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64.285714285714292</v>
      </c>
      <c r="C81" s="787">
        <f>SUM(C78:C80)</f>
        <v>0</v>
      </c>
      <c r="D81" s="787">
        <f t="shared" ref="D81:P81" si="9">SUM(D78:D80)</f>
        <v>75.630252100840352</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15.277310924369752</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74386.148390793809</v>
      </c>
      <c r="C4" s="461">
        <f>huishoudens!C8</f>
        <v>0</v>
      </c>
      <c r="D4" s="461">
        <f>huishoudens!D8</f>
        <v>110562.242296</v>
      </c>
      <c r="E4" s="461">
        <f>huishoudens!E8</f>
        <v>5284.3287818199979</v>
      </c>
      <c r="F4" s="461">
        <f>huishoudens!F8</f>
        <v>143881.28798061222</v>
      </c>
      <c r="G4" s="461">
        <f>huishoudens!G8</f>
        <v>0</v>
      </c>
      <c r="H4" s="461">
        <f>huishoudens!H8</f>
        <v>0</v>
      </c>
      <c r="I4" s="461">
        <f>huishoudens!I8</f>
        <v>0</v>
      </c>
      <c r="J4" s="461">
        <f>huishoudens!J8</f>
        <v>0</v>
      </c>
      <c r="K4" s="461">
        <f>huishoudens!K8</f>
        <v>0</v>
      </c>
      <c r="L4" s="461">
        <f>huishoudens!L8</f>
        <v>0</v>
      </c>
      <c r="M4" s="461">
        <f>huishoudens!M8</f>
        <v>0</v>
      </c>
      <c r="N4" s="461">
        <f>huishoudens!N8</f>
        <v>32456.392476195437</v>
      </c>
      <c r="O4" s="461">
        <f>huishoudens!O8</f>
        <v>214.17666666666668</v>
      </c>
      <c r="P4" s="462">
        <f>huishoudens!P8</f>
        <v>610.13333333333333</v>
      </c>
      <c r="Q4" s="463">
        <f>SUM(B4:P4)</f>
        <v>367394.70992542146</v>
      </c>
    </row>
    <row r="5" spans="1:17">
      <c r="A5" s="460" t="s">
        <v>156</v>
      </c>
      <c r="B5" s="461">
        <f ca="1">tertiair!B16</f>
        <v>39559.486000000004</v>
      </c>
      <c r="C5" s="461">
        <f ca="1">tertiair!C16</f>
        <v>64.285714285714292</v>
      </c>
      <c r="D5" s="461">
        <f ca="1">tertiair!D16</f>
        <v>30466.742705428573</v>
      </c>
      <c r="E5" s="461">
        <f>tertiair!E16</f>
        <v>784.57847645438619</v>
      </c>
      <c r="F5" s="461">
        <f ca="1">tertiair!F16</f>
        <v>7553.8129410233696</v>
      </c>
      <c r="G5" s="461">
        <f>tertiair!G16</f>
        <v>0</v>
      </c>
      <c r="H5" s="461">
        <f>tertiair!H16</f>
        <v>0</v>
      </c>
      <c r="I5" s="461">
        <f>tertiair!I16</f>
        <v>0</v>
      </c>
      <c r="J5" s="461">
        <f>tertiair!J16</f>
        <v>0</v>
      </c>
      <c r="K5" s="461">
        <f>tertiair!K16</f>
        <v>0</v>
      </c>
      <c r="L5" s="461">
        <f ca="1">tertiair!L16</f>
        <v>0</v>
      </c>
      <c r="M5" s="461">
        <f>tertiair!M16</f>
        <v>0</v>
      </c>
      <c r="N5" s="461">
        <f ca="1">tertiair!N16</f>
        <v>1482.704340026824</v>
      </c>
      <c r="O5" s="461">
        <f>tertiair!O16</f>
        <v>1.5633333333333335</v>
      </c>
      <c r="P5" s="462">
        <f>tertiair!P16</f>
        <v>19.066666666666666</v>
      </c>
      <c r="Q5" s="460">
        <f t="shared" ref="Q5:Q13" ca="1" si="0">SUM(B5:P5)</f>
        <v>79932.24017721889</v>
      </c>
    </row>
    <row r="6" spans="1:17">
      <c r="A6" s="460" t="s">
        <v>195</v>
      </c>
      <c r="B6" s="461">
        <f>'openbare verlichting'!B8</f>
        <v>2105.73</v>
      </c>
      <c r="C6" s="461"/>
      <c r="D6" s="461"/>
      <c r="E6" s="461"/>
      <c r="F6" s="461"/>
      <c r="G6" s="461"/>
      <c r="H6" s="461"/>
      <c r="I6" s="461"/>
      <c r="J6" s="461"/>
      <c r="K6" s="461"/>
      <c r="L6" s="461"/>
      <c r="M6" s="461"/>
      <c r="N6" s="461"/>
      <c r="O6" s="461"/>
      <c r="P6" s="462"/>
      <c r="Q6" s="460">
        <f t="shared" si="0"/>
        <v>2105.73</v>
      </c>
    </row>
    <row r="7" spans="1:17">
      <c r="A7" s="460" t="s">
        <v>112</v>
      </c>
      <c r="B7" s="461">
        <f>landbouw!B8</f>
        <v>812.85500000000002</v>
      </c>
      <c r="C7" s="461">
        <f>landbouw!C8</f>
        <v>0</v>
      </c>
      <c r="D7" s="461">
        <f>landbouw!D8</f>
        <v>514.42052200000001</v>
      </c>
      <c r="E7" s="461">
        <f>landbouw!E8</f>
        <v>8.5123935359312437</v>
      </c>
      <c r="F7" s="461">
        <f>landbouw!F8</f>
        <v>4174.952706241962</v>
      </c>
      <c r="G7" s="461">
        <f>landbouw!G8</f>
        <v>0</v>
      </c>
      <c r="H7" s="461">
        <f>landbouw!H8</f>
        <v>0</v>
      </c>
      <c r="I7" s="461">
        <f>landbouw!I8</f>
        <v>0</v>
      </c>
      <c r="J7" s="461">
        <f>landbouw!J8</f>
        <v>72.595237243657323</v>
      </c>
      <c r="K7" s="461">
        <f>landbouw!K8</f>
        <v>0</v>
      </c>
      <c r="L7" s="461">
        <f>landbouw!L8</f>
        <v>0</v>
      </c>
      <c r="M7" s="461">
        <f>landbouw!M8</f>
        <v>0</v>
      </c>
      <c r="N7" s="461">
        <f>landbouw!N8</f>
        <v>0</v>
      </c>
      <c r="O7" s="461">
        <f>landbouw!O8</f>
        <v>0</v>
      </c>
      <c r="P7" s="462">
        <f>landbouw!P8</f>
        <v>0</v>
      </c>
      <c r="Q7" s="460">
        <f t="shared" si="0"/>
        <v>5583.3358590215512</v>
      </c>
    </row>
    <row r="8" spans="1:17">
      <c r="A8" s="460" t="s">
        <v>656</v>
      </c>
      <c r="B8" s="461">
        <f>industrie!B18</f>
        <v>41111.575000000012</v>
      </c>
      <c r="C8" s="461">
        <f>industrie!C18</f>
        <v>0</v>
      </c>
      <c r="D8" s="461">
        <f>industrie!D18</f>
        <v>33824.626571999994</v>
      </c>
      <c r="E8" s="461">
        <f>industrie!E18</f>
        <v>773.84445541695663</v>
      </c>
      <c r="F8" s="461">
        <f>industrie!F18</f>
        <v>9218.3450308162337</v>
      </c>
      <c r="G8" s="461">
        <f>industrie!G18</f>
        <v>0</v>
      </c>
      <c r="H8" s="461">
        <f>industrie!H18</f>
        <v>0</v>
      </c>
      <c r="I8" s="461">
        <f>industrie!I18</f>
        <v>0</v>
      </c>
      <c r="J8" s="461">
        <f>industrie!J18</f>
        <v>145.50089138655778</v>
      </c>
      <c r="K8" s="461">
        <f>industrie!K18</f>
        <v>0</v>
      </c>
      <c r="L8" s="461">
        <f>industrie!L18</f>
        <v>0</v>
      </c>
      <c r="M8" s="461">
        <f>industrie!M18</f>
        <v>0</v>
      </c>
      <c r="N8" s="461">
        <f>industrie!N18</f>
        <v>490.55265672971217</v>
      </c>
      <c r="O8" s="461">
        <f>industrie!O18</f>
        <v>0</v>
      </c>
      <c r="P8" s="462">
        <f>industrie!P18</f>
        <v>0</v>
      </c>
      <c r="Q8" s="460">
        <f t="shared" si="0"/>
        <v>85564.444606349454</v>
      </c>
    </row>
    <row r="9" spans="1:17" s="466" customFormat="1">
      <c r="A9" s="464" t="s">
        <v>574</v>
      </c>
      <c r="B9" s="465">
        <f>transport!B14</f>
        <v>2.0717896317136519</v>
      </c>
      <c r="C9" s="465">
        <f>transport!C14</f>
        <v>0</v>
      </c>
      <c r="D9" s="465">
        <f>transport!D14</f>
        <v>11.294091346592198</v>
      </c>
      <c r="E9" s="465">
        <f>transport!E14</f>
        <v>1210.1377738990684</v>
      </c>
      <c r="F9" s="465">
        <f>transport!F14</f>
        <v>0</v>
      </c>
      <c r="G9" s="465">
        <f>transport!G14</f>
        <v>202389.72633660171</v>
      </c>
      <c r="H9" s="465">
        <f>transport!H14</f>
        <v>37870.835043914638</v>
      </c>
      <c r="I9" s="465">
        <f>transport!I14</f>
        <v>0</v>
      </c>
      <c r="J9" s="465">
        <f>transport!J14</f>
        <v>0</v>
      </c>
      <c r="K9" s="465">
        <f>transport!K14</f>
        <v>0</v>
      </c>
      <c r="L9" s="465">
        <f>transport!L14</f>
        <v>0</v>
      </c>
      <c r="M9" s="465">
        <f>transport!M14</f>
        <v>10491.751419840835</v>
      </c>
      <c r="N9" s="465">
        <f>transport!N14</f>
        <v>0</v>
      </c>
      <c r="O9" s="465">
        <f>transport!O14</f>
        <v>0</v>
      </c>
      <c r="P9" s="465">
        <f>transport!P14</f>
        <v>0</v>
      </c>
      <c r="Q9" s="464">
        <f>SUM(B9:P9)</f>
        <v>251975.81645523457</v>
      </c>
    </row>
    <row r="10" spans="1:17">
      <c r="A10" s="460" t="s">
        <v>564</v>
      </c>
      <c r="B10" s="461">
        <f>transport!B54</f>
        <v>0</v>
      </c>
      <c r="C10" s="461">
        <f>transport!C54</f>
        <v>0</v>
      </c>
      <c r="D10" s="461">
        <f>transport!D54</f>
        <v>0</v>
      </c>
      <c r="E10" s="461">
        <f>transport!E54</f>
        <v>0</v>
      </c>
      <c r="F10" s="461">
        <f>transport!F54</f>
        <v>0</v>
      </c>
      <c r="G10" s="461">
        <f>transport!G54</f>
        <v>3804.1201545478343</v>
      </c>
      <c r="H10" s="461">
        <f>transport!H54</f>
        <v>0</v>
      </c>
      <c r="I10" s="461">
        <f>transport!I54</f>
        <v>0</v>
      </c>
      <c r="J10" s="461">
        <f>transport!J54</f>
        <v>0</v>
      </c>
      <c r="K10" s="461">
        <f>transport!K54</f>
        <v>0</v>
      </c>
      <c r="L10" s="461">
        <f>transport!L54</f>
        <v>0</v>
      </c>
      <c r="M10" s="461">
        <f>transport!M54</f>
        <v>162.15311527750546</v>
      </c>
      <c r="N10" s="461">
        <f>transport!N54</f>
        <v>0</v>
      </c>
      <c r="O10" s="461">
        <f>transport!O54</f>
        <v>0</v>
      </c>
      <c r="P10" s="462">
        <f>transport!P54</f>
        <v>0</v>
      </c>
      <c r="Q10" s="460">
        <f t="shared" si="0"/>
        <v>3966.2732698253399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157977.86618042554</v>
      </c>
      <c r="C14" s="471">
        <f t="shared" ref="C14:Q14" ca="1" si="1">SUM(C4:C13)</f>
        <v>64.285714285714292</v>
      </c>
      <c r="D14" s="471">
        <f t="shared" ca="1" si="1"/>
        <v>175379.32618677514</v>
      </c>
      <c r="E14" s="471">
        <f t="shared" si="1"/>
        <v>8061.4018811263404</v>
      </c>
      <c r="F14" s="471">
        <f t="shared" ca="1" si="1"/>
        <v>164828.3986586938</v>
      </c>
      <c r="G14" s="471">
        <f t="shared" si="1"/>
        <v>206193.84649114954</v>
      </c>
      <c r="H14" s="471">
        <f t="shared" si="1"/>
        <v>37870.835043914638</v>
      </c>
      <c r="I14" s="471">
        <f t="shared" si="1"/>
        <v>0</v>
      </c>
      <c r="J14" s="471">
        <f t="shared" si="1"/>
        <v>218.09612863021511</v>
      </c>
      <c r="K14" s="471">
        <f t="shared" si="1"/>
        <v>0</v>
      </c>
      <c r="L14" s="471">
        <f t="shared" ca="1" si="1"/>
        <v>0</v>
      </c>
      <c r="M14" s="471">
        <f t="shared" si="1"/>
        <v>10653.904535118341</v>
      </c>
      <c r="N14" s="471">
        <f t="shared" ca="1" si="1"/>
        <v>34429.649472951976</v>
      </c>
      <c r="O14" s="471">
        <f t="shared" si="1"/>
        <v>215.74</v>
      </c>
      <c r="P14" s="472">
        <f t="shared" si="1"/>
        <v>629.20000000000005</v>
      </c>
      <c r="Q14" s="472">
        <f t="shared" ca="1" si="1"/>
        <v>796522.5502930712</v>
      </c>
    </row>
    <row r="16" spans="1:17">
      <c r="A16" s="474" t="s">
        <v>569</v>
      </c>
      <c r="B16" s="828">
        <f ca="1">huishoudens!B10</f>
        <v>0.20878602572733587</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15530.7882916777</v>
      </c>
      <c r="C21" s="461">
        <f t="shared" ref="C21:C30" ca="1" si="3">C4*$C$16</f>
        <v>0</v>
      </c>
      <c r="D21" s="461">
        <f t="shared" ref="D21:D30" si="4">D4*$D$16</f>
        <v>22333.572943792002</v>
      </c>
      <c r="E21" s="461">
        <f t="shared" ref="E21:E30" si="5">E4*$E$16</f>
        <v>1199.5426334731396</v>
      </c>
      <c r="F21" s="461">
        <f t="shared" ref="F21:F30" si="6">F4*$F$16</f>
        <v>38416.303890823467</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77480.207759766316</v>
      </c>
    </row>
    <row r="22" spans="1:17">
      <c r="A22" s="460" t="s">
        <v>156</v>
      </c>
      <c r="B22" s="461">
        <f t="shared" ca="1" si="2"/>
        <v>8259.467861756184</v>
      </c>
      <c r="C22" s="461">
        <f t="shared" ca="1" si="3"/>
        <v>15.277310924369752</v>
      </c>
      <c r="D22" s="461">
        <f t="shared" ca="1" si="4"/>
        <v>6154.2820264965721</v>
      </c>
      <c r="E22" s="461">
        <f t="shared" si="5"/>
        <v>178.09931415514566</v>
      </c>
      <c r="F22" s="461">
        <f t="shared" ca="1" si="6"/>
        <v>2016.8680552532398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16623.994568585513</v>
      </c>
    </row>
    <row r="23" spans="1:17">
      <c r="A23" s="460" t="s">
        <v>195</v>
      </c>
      <c r="B23" s="461">
        <f t="shared" ca="1" si="2"/>
        <v>439.64699795482295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439.64699795482295</v>
      </c>
    </row>
    <row r="24" spans="1:17">
      <c r="A24" s="460" t="s">
        <v>112</v>
      </c>
      <c r="B24" s="461">
        <f t="shared" ca="1" si="2"/>
        <v>169.71276494259359</v>
      </c>
      <c r="C24" s="461">
        <f t="shared" ca="1" si="3"/>
        <v>0</v>
      </c>
      <c r="D24" s="461">
        <f t="shared" si="4"/>
        <v>103.912945444</v>
      </c>
      <c r="E24" s="461">
        <f t="shared" si="5"/>
        <v>1.9323133326563924</v>
      </c>
      <c r="F24" s="461">
        <f t="shared" si="6"/>
        <v>1114.712372566604</v>
      </c>
      <c r="G24" s="461">
        <f t="shared" si="7"/>
        <v>0</v>
      </c>
      <c r="H24" s="461">
        <f t="shared" si="8"/>
        <v>0</v>
      </c>
      <c r="I24" s="461">
        <f t="shared" si="9"/>
        <v>0</v>
      </c>
      <c r="J24" s="461">
        <f t="shared" si="10"/>
        <v>25.698713984254692</v>
      </c>
      <c r="K24" s="461">
        <f t="shared" si="11"/>
        <v>0</v>
      </c>
      <c r="L24" s="461">
        <f t="shared" si="12"/>
        <v>0</v>
      </c>
      <c r="M24" s="461">
        <f t="shared" si="13"/>
        <v>0</v>
      </c>
      <c r="N24" s="461">
        <f t="shared" si="14"/>
        <v>0</v>
      </c>
      <c r="O24" s="461">
        <f t="shared" si="15"/>
        <v>0</v>
      </c>
      <c r="P24" s="462">
        <f t="shared" si="16"/>
        <v>0</v>
      </c>
      <c r="Q24" s="460">
        <f t="shared" ca="1" si="17"/>
        <v>1415.9691102701088</v>
      </c>
    </row>
    <row r="25" spans="1:17">
      <c r="A25" s="460" t="s">
        <v>656</v>
      </c>
      <c r="B25" s="461">
        <f t="shared" ca="1" si="2"/>
        <v>8583.5223556413002</v>
      </c>
      <c r="C25" s="461">
        <f t="shared" ca="1" si="3"/>
        <v>0</v>
      </c>
      <c r="D25" s="461">
        <f t="shared" si="4"/>
        <v>6832.5745675439994</v>
      </c>
      <c r="E25" s="461">
        <f t="shared" si="5"/>
        <v>175.66269137964917</v>
      </c>
      <c r="F25" s="461">
        <f t="shared" si="6"/>
        <v>2461.2981232279344</v>
      </c>
      <c r="G25" s="461">
        <f t="shared" si="7"/>
        <v>0</v>
      </c>
      <c r="H25" s="461">
        <f t="shared" si="8"/>
        <v>0</v>
      </c>
      <c r="I25" s="461">
        <f t="shared" si="9"/>
        <v>0</v>
      </c>
      <c r="J25" s="461">
        <f t="shared" si="10"/>
        <v>51.507315550841454</v>
      </c>
      <c r="K25" s="461">
        <f t="shared" si="11"/>
        <v>0</v>
      </c>
      <c r="L25" s="461">
        <f t="shared" si="12"/>
        <v>0</v>
      </c>
      <c r="M25" s="461">
        <f t="shared" si="13"/>
        <v>0</v>
      </c>
      <c r="N25" s="461">
        <f t="shared" si="14"/>
        <v>0</v>
      </c>
      <c r="O25" s="461">
        <f t="shared" si="15"/>
        <v>0</v>
      </c>
      <c r="P25" s="462">
        <f t="shared" si="16"/>
        <v>0</v>
      </c>
      <c r="Q25" s="460">
        <f t="shared" ca="1" si="17"/>
        <v>18104.565053343726</v>
      </c>
    </row>
    <row r="26" spans="1:17" s="466" customFormat="1">
      <c r="A26" s="464" t="s">
        <v>574</v>
      </c>
      <c r="B26" s="822">
        <f t="shared" ca="1" si="2"/>
        <v>0.43256072334859424</v>
      </c>
      <c r="C26" s="465">
        <f t="shared" ca="1" si="3"/>
        <v>0</v>
      </c>
      <c r="D26" s="465">
        <f t="shared" si="4"/>
        <v>2.2814064520116242</v>
      </c>
      <c r="E26" s="465">
        <f t="shared" si="5"/>
        <v>274.70127467508854</v>
      </c>
      <c r="F26" s="465">
        <f t="shared" si="6"/>
        <v>0</v>
      </c>
      <c r="G26" s="465">
        <f t="shared" si="7"/>
        <v>54038.056931872663</v>
      </c>
      <c r="H26" s="465">
        <f t="shared" si="8"/>
        <v>9429.8379259347439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63745.310099657851</v>
      </c>
    </row>
    <row r="27" spans="1:17">
      <c r="A27" s="460" t="s">
        <v>564</v>
      </c>
      <c r="B27" s="461">
        <f t="shared" ca="1" si="2"/>
        <v>0</v>
      </c>
      <c r="C27" s="461">
        <f t="shared" ca="1" si="3"/>
        <v>0</v>
      </c>
      <c r="D27" s="461">
        <f t="shared" si="4"/>
        <v>0</v>
      </c>
      <c r="E27" s="461">
        <f t="shared" si="5"/>
        <v>0</v>
      </c>
      <c r="F27" s="461">
        <f t="shared" si="6"/>
        <v>0</v>
      </c>
      <c r="G27" s="461">
        <f t="shared" si="7"/>
        <v>1015.7000812642718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1015.7000812642718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32983.570832695943</v>
      </c>
      <c r="C31" s="471">
        <f t="shared" ca="1" si="18"/>
        <v>15.277310924369752</v>
      </c>
      <c r="D31" s="471">
        <f t="shared" ca="1" si="18"/>
        <v>35426.623889728588</v>
      </c>
      <c r="E31" s="471">
        <f t="shared" si="18"/>
        <v>1829.9382270156796</v>
      </c>
      <c r="F31" s="471">
        <f t="shared" ca="1" si="18"/>
        <v>44009.182441871242</v>
      </c>
      <c r="G31" s="471">
        <f t="shared" si="18"/>
        <v>55053.757013136936</v>
      </c>
      <c r="H31" s="471">
        <f t="shared" si="18"/>
        <v>9429.8379259347439</v>
      </c>
      <c r="I31" s="471">
        <f t="shared" si="18"/>
        <v>0</v>
      </c>
      <c r="J31" s="471">
        <f t="shared" si="18"/>
        <v>77.20602953509615</v>
      </c>
      <c r="K31" s="471">
        <f t="shared" si="18"/>
        <v>0</v>
      </c>
      <c r="L31" s="471">
        <f t="shared" ca="1" si="18"/>
        <v>0</v>
      </c>
      <c r="M31" s="471">
        <f t="shared" si="18"/>
        <v>0</v>
      </c>
      <c r="N31" s="471">
        <f t="shared" ca="1" si="18"/>
        <v>0</v>
      </c>
      <c r="O31" s="471">
        <f t="shared" si="18"/>
        <v>0</v>
      </c>
      <c r="P31" s="472">
        <f t="shared" si="18"/>
        <v>0</v>
      </c>
      <c r="Q31" s="472">
        <f t="shared" ca="1" si="18"/>
        <v>178825.3936708426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0.20878602572733587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0.20878602572733587</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0.20878602572733587</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71004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16459</v>
      </c>
      <c r="C9" s="336">
        <v>18200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1971</v>
      </c>
    </row>
    <row r="15" spans="1:6">
      <c r="A15" s="1194" t="s">
        <v>185</v>
      </c>
      <c r="B15" s="333">
        <v>3</v>
      </c>
    </row>
    <row r="16" spans="1:6">
      <c r="A16" s="1194" t="s">
        <v>6</v>
      </c>
      <c r="B16" s="333">
        <v>104</v>
      </c>
    </row>
    <row r="17" spans="1:6">
      <c r="A17" s="1194" t="s">
        <v>7</v>
      </c>
      <c r="B17" s="333">
        <v>143</v>
      </c>
    </row>
    <row r="18" spans="1:6">
      <c r="A18" s="1194" t="s">
        <v>8</v>
      </c>
      <c r="B18" s="333">
        <v>211</v>
      </c>
    </row>
    <row r="19" spans="1:6">
      <c r="A19" s="1194" t="s">
        <v>9</v>
      </c>
      <c r="B19" s="333">
        <v>197</v>
      </c>
    </row>
    <row r="20" spans="1:6">
      <c r="A20" s="1194" t="s">
        <v>10</v>
      </c>
      <c r="B20" s="333">
        <v>205</v>
      </c>
    </row>
    <row r="21" spans="1:6">
      <c r="A21" s="1194" t="s">
        <v>11</v>
      </c>
      <c r="B21" s="333">
        <v>1224</v>
      </c>
    </row>
    <row r="22" spans="1:6">
      <c r="A22" s="1194" t="s">
        <v>12</v>
      </c>
      <c r="B22" s="333">
        <v>3348</v>
      </c>
    </row>
    <row r="23" spans="1:6">
      <c r="A23" s="1194" t="s">
        <v>13</v>
      </c>
      <c r="B23" s="333">
        <v>33</v>
      </c>
    </row>
    <row r="24" spans="1:6">
      <c r="A24" s="1194" t="s">
        <v>14</v>
      </c>
      <c r="B24" s="333">
        <v>13</v>
      </c>
    </row>
    <row r="25" spans="1:6">
      <c r="A25" s="1194" t="s">
        <v>15</v>
      </c>
      <c r="B25" s="333">
        <v>916</v>
      </c>
    </row>
    <row r="26" spans="1:6">
      <c r="A26" s="1194" t="s">
        <v>16</v>
      </c>
      <c r="B26" s="333">
        <v>670</v>
      </c>
    </row>
    <row r="27" spans="1:6">
      <c r="A27" s="1194" t="s">
        <v>17</v>
      </c>
      <c r="B27" s="333">
        <v>33</v>
      </c>
    </row>
    <row r="28" spans="1:6">
      <c r="A28" s="1194" t="s">
        <v>18</v>
      </c>
      <c r="B28" s="333">
        <v>9588</v>
      </c>
    </row>
    <row r="29" spans="1:6">
      <c r="A29" s="1194" t="s">
        <v>888</v>
      </c>
      <c r="B29" s="333">
        <v>153</v>
      </c>
    </row>
    <row r="30" spans="1:6">
      <c r="A30" s="1190" t="s">
        <v>889</v>
      </c>
      <c r="B30" s="1190">
        <v>46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13</v>
      </c>
      <c r="F36" s="333">
        <v>521865</v>
      </c>
    </row>
    <row r="37" spans="1:6">
      <c r="A37" s="1194" t="s">
        <v>25</v>
      </c>
      <c r="B37" s="1194" t="s">
        <v>28</v>
      </c>
      <c r="C37" s="333">
        <v>0</v>
      </c>
      <c r="D37" s="333">
        <v>0</v>
      </c>
      <c r="E37" s="333">
        <v>0</v>
      </c>
      <c r="F37" s="333">
        <v>0</v>
      </c>
    </row>
    <row r="38" spans="1:6">
      <c r="A38" s="1194" t="s">
        <v>25</v>
      </c>
      <c r="B38" s="1194" t="s">
        <v>29</v>
      </c>
      <c r="C38" s="333">
        <v>1</v>
      </c>
      <c r="D38" s="333">
        <v>12430</v>
      </c>
      <c r="E38" s="333">
        <v>1</v>
      </c>
      <c r="F38" s="333">
        <v>0</v>
      </c>
    </row>
    <row r="39" spans="1:6">
      <c r="A39" s="1194" t="s">
        <v>30</v>
      </c>
      <c r="B39" s="1194" t="s">
        <v>31</v>
      </c>
      <c r="C39" s="333">
        <v>7219</v>
      </c>
      <c r="D39" s="333">
        <v>122574548</v>
      </c>
      <c r="E39" s="333">
        <v>17081</v>
      </c>
      <c r="F39" s="333">
        <v>68963543</v>
      </c>
    </row>
    <row r="40" spans="1:6">
      <c r="A40" s="1194" t="s">
        <v>30</v>
      </c>
      <c r="B40" s="1194" t="s">
        <v>29</v>
      </c>
      <c r="C40" s="333">
        <v>0</v>
      </c>
      <c r="D40" s="333">
        <v>0</v>
      </c>
      <c r="E40" s="333">
        <v>0</v>
      </c>
      <c r="F40" s="333">
        <v>0</v>
      </c>
    </row>
    <row r="41" spans="1:6">
      <c r="A41" s="1194" t="s">
        <v>32</v>
      </c>
      <c r="B41" s="1194" t="s">
        <v>33</v>
      </c>
      <c r="C41" s="333">
        <v>79</v>
      </c>
      <c r="D41" s="333">
        <v>3461893</v>
      </c>
      <c r="E41" s="333">
        <v>200</v>
      </c>
      <c r="F41" s="333">
        <v>4461679</v>
      </c>
    </row>
    <row r="42" spans="1:6">
      <c r="A42" s="1194" t="s">
        <v>32</v>
      </c>
      <c r="B42" s="1194" t="s">
        <v>34</v>
      </c>
      <c r="C42" s="333">
        <v>3</v>
      </c>
      <c r="D42" s="333">
        <v>1067734</v>
      </c>
      <c r="E42" s="333">
        <v>3</v>
      </c>
      <c r="F42" s="333">
        <v>4212300</v>
      </c>
    </row>
    <row r="43" spans="1:6">
      <c r="A43" s="1194" t="s">
        <v>32</v>
      </c>
      <c r="B43" s="1194" t="s">
        <v>35</v>
      </c>
      <c r="C43" s="333">
        <v>0</v>
      </c>
      <c r="D43" s="333">
        <v>0</v>
      </c>
      <c r="E43" s="333">
        <v>0</v>
      </c>
      <c r="F43" s="333">
        <v>0</v>
      </c>
    </row>
    <row r="44" spans="1:6">
      <c r="A44" s="1194" t="s">
        <v>32</v>
      </c>
      <c r="B44" s="1194" t="s">
        <v>36</v>
      </c>
      <c r="C44" s="333">
        <v>20</v>
      </c>
      <c r="D44" s="333">
        <v>10094684</v>
      </c>
      <c r="E44" s="333">
        <v>37</v>
      </c>
      <c r="F44" s="333">
        <v>4920546</v>
      </c>
    </row>
    <row r="45" spans="1:6">
      <c r="A45" s="1194" t="s">
        <v>32</v>
      </c>
      <c r="B45" s="1194" t="s">
        <v>37</v>
      </c>
      <c r="C45" s="333">
        <v>3</v>
      </c>
      <c r="D45" s="333">
        <v>304160</v>
      </c>
      <c r="E45" s="333">
        <v>8</v>
      </c>
      <c r="F45" s="333">
        <v>1755438</v>
      </c>
    </row>
    <row r="46" spans="1:6">
      <c r="A46" s="1194" t="s">
        <v>32</v>
      </c>
      <c r="B46" s="1194" t="s">
        <v>38</v>
      </c>
      <c r="C46" s="333">
        <v>0</v>
      </c>
      <c r="D46" s="333">
        <v>0</v>
      </c>
      <c r="E46" s="333">
        <v>0</v>
      </c>
      <c r="F46" s="333">
        <v>0</v>
      </c>
    </row>
    <row r="47" spans="1:6">
      <c r="A47" s="1194" t="s">
        <v>32</v>
      </c>
      <c r="B47" s="1194" t="s">
        <v>39</v>
      </c>
      <c r="C47" s="333">
        <v>7</v>
      </c>
      <c r="D47" s="333">
        <v>14617907</v>
      </c>
      <c r="E47" s="333">
        <v>11</v>
      </c>
      <c r="F47" s="333">
        <v>17268382</v>
      </c>
    </row>
    <row r="48" spans="1:6">
      <c r="A48" s="1194" t="s">
        <v>32</v>
      </c>
      <c r="B48" s="1194" t="s">
        <v>29</v>
      </c>
      <c r="C48" s="333">
        <v>2</v>
      </c>
      <c r="D48" s="333">
        <v>202098</v>
      </c>
      <c r="E48" s="333">
        <v>0</v>
      </c>
      <c r="F48" s="333">
        <v>0</v>
      </c>
    </row>
    <row r="49" spans="1:6">
      <c r="A49" s="1194" t="s">
        <v>32</v>
      </c>
      <c r="B49" s="1194" t="s">
        <v>40</v>
      </c>
      <c r="C49" s="333">
        <v>0</v>
      </c>
      <c r="D49" s="333">
        <v>0</v>
      </c>
      <c r="E49" s="333">
        <v>6</v>
      </c>
      <c r="F49" s="333">
        <v>333990</v>
      </c>
    </row>
    <row r="50" spans="1:6">
      <c r="A50" s="1194" t="s">
        <v>32</v>
      </c>
      <c r="B50" s="1194" t="s">
        <v>41</v>
      </c>
      <c r="C50" s="333">
        <v>10</v>
      </c>
      <c r="D50" s="333">
        <v>7751110</v>
      </c>
      <c r="E50" s="333">
        <v>22</v>
      </c>
      <c r="F50" s="333">
        <v>8159240</v>
      </c>
    </row>
    <row r="51" spans="1:6">
      <c r="A51" s="1194" t="s">
        <v>42</v>
      </c>
      <c r="B51" s="1194" t="s">
        <v>43</v>
      </c>
      <c r="C51" s="333">
        <v>8</v>
      </c>
      <c r="D51" s="333">
        <v>570311</v>
      </c>
      <c r="E51" s="333">
        <v>44</v>
      </c>
      <c r="F51" s="333">
        <v>812855</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140</v>
      </c>
      <c r="F54" s="333">
        <v>2105730</v>
      </c>
    </row>
    <row r="55" spans="1:6">
      <c r="A55" s="1194" t="s">
        <v>46</v>
      </c>
      <c r="B55" s="1194" t="s">
        <v>29</v>
      </c>
      <c r="C55" s="333">
        <v>0</v>
      </c>
      <c r="D55" s="333">
        <v>0</v>
      </c>
      <c r="E55" s="333">
        <v>0</v>
      </c>
      <c r="F55" s="333">
        <v>0</v>
      </c>
    </row>
    <row r="56" spans="1:6">
      <c r="A56" s="1194" t="s">
        <v>48</v>
      </c>
      <c r="B56" s="1194" t="s">
        <v>29</v>
      </c>
      <c r="C56" s="333">
        <v>83</v>
      </c>
      <c r="D56" s="333">
        <v>4817321</v>
      </c>
      <c r="E56" s="333">
        <v>287</v>
      </c>
      <c r="F56" s="333">
        <v>6419258</v>
      </c>
    </row>
    <row r="57" spans="1:6">
      <c r="A57" s="1194" t="s">
        <v>49</v>
      </c>
      <c r="B57" s="1194" t="s">
        <v>50</v>
      </c>
      <c r="C57" s="333">
        <v>67</v>
      </c>
      <c r="D57" s="333">
        <v>4118635</v>
      </c>
      <c r="E57" s="333">
        <v>200</v>
      </c>
      <c r="F57" s="333">
        <v>5895519</v>
      </c>
    </row>
    <row r="58" spans="1:6">
      <c r="A58" s="1194" t="s">
        <v>49</v>
      </c>
      <c r="B58" s="1194" t="s">
        <v>51</v>
      </c>
      <c r="C58" s="333">
        <v>38</v>
      </c>
      <c r="D58" s="333">
        <v>2837722</v>
      </c>
      <c r="E58" s="333">
        <v>85</v>
      </c>
      <c r="F58" s="333">
        <v>1380845</v>
      </c>
    </row>
    <row r="59" spans="1:6">
      <c r="A59" s="1194" t="s">
        <v>49</v>
      </c>
      <c r="B59" s="1194" t="s">
        <v>52</v>
      </c>
      <c r="C59" s="333">
        <v>155</v>
      </c>
      <c r="D59" s="333">
        <v>8277660</v>
      </c>
      <c r="E59" s="333">
        <v>350</v>
      </c>
      <c r="F59" s="333">
        <v>14148156</v>
      </c>
    </row>
    <row r="60" spans="1:6">
      <c r="A60" s="1194" t="s">
        <v>49</v>
      </c>
      <c r="B60" s="1194" t="s">
        <v>53</v>
      </c>
      <c r="C60" s="333">
        <v>61</v>
      </c>
      <c r="D60" s="333">
        <v>3395481</v>
      </c>
      <c r="E60" s="333">
        <v>105</v>
      </c>
      <c r="F60" s="333">
        <v>3765154</v>
      </c>
    </row>
    <row r="61" spans="1:6">
      <c r="A61" s="1194" t="s">
        <v>49</v>
      </c>
      <c r="B61" s="1194" t="s">
        <v>54</v>
      </c>
      <c r="C61" s="333">
        <v>169</v>
      </c>
      <c r="D61" s="333">
        <v>13007083</v>
      </c>
      <c r="E61" s="333">
        <v>527</v>
      </c>
      <c r="F61" s="333">
        <v>13203442</v>
      </c>
    </row>
    <row r="62" spans="1:6">
      <c r="A62" s="1194" t="s">
        <v>49</v>
      </c>
      <c r="B62" s="1194" t="s">
        <v>55</v>
      </c>
      <c r="C62" s="333">
        <v>14</v>
      </c>
      <c r="D62" s="333">
        <v>2282836</v>
      </c>
      <c r="E62" s="333">
        <v>36</v>
      </c>
      <c r="F62" s="333">
        <v>1121370</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18809</v>
      </c>
      <c r="E65" s="333">
        <v>3</v>
      </c>
      <c r="F65" s="333">
        <v>390835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5</v>
      </c>
      <c r="D68" s="333">
        <v>239125</v>
      </c>
      <c r="E68" s="333">
        <v>9</v>
      </c>
      <c r="F68" s="333">
        <v>220041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90172530</v>
      </c>
      <c r="E73" s="333">
        <v>93831082.685087144</v>
      </c>
      <c r="F73" s="333">
        <v>90586243</v>
      </c>
    </row>
    <row r="74" spans="1:6">
      <c r="A74" s="1194" t="s">
        <v>64</v>
      </c>
      <c r="B74" s="1194" t="s">
        <v>775</v>
      </c>
      <c r="C74" s="1205" t="s">
        <v>776</v>
      </c>
      <c r="D74" s="333">
        <v>4102382.0490858937</v>
      </c>
      <c r="E74" s="333">
        <v>4492211.8295661379</v>
      </c>
      <c r="F74" s="333">
        <v>4268258.2165728882</v>
      </c>
    </row>
    <row r="75" spans="1:6">
      <c r="A75" s="1194" t="s">
        <v>65</v>
      </c>
      <c r="B75" s="1194" t="s">
        <v>773</v>
      </c>
      <c r="C75" s="1205" t="s">
        <v>777</v>
      </c>
      <c r="D75" s="333">
        <v>82516067</v>
      </c>
      <c r="E75" s="333">
        <v>85904025.911779642</v>
      </c>
      <c r="F75" s="333">
        <v>82909219</v>
      </c>
    </row>
    <row r="76" spans="1:6">
      <c r="A76" s="1194" t="s">
        <v>65</v>
      </c>
      <c r="B76" s="1194" t="s">
        <v>775</v>
      </c>
      <c r="C76" s="1205" t="s">
        <v>778</v>
      </c>
      <c r="D76" s="333">
        <v>2003366.0490858937</v>
      </c>
      <c r="E76" s="333">
        <v>2236330.2169188601</v>
      </c>
      <c r="F76" s="333">
        <v>2109990.2165728882</v>
      </c>
    </row>
    <row r="77" spans="1:6">
      <c r="A77" s="1194" t="s">
        <v>66</v>
      </c>
      <c r="B77" s="1194" t="s">
        <v>773</v>
      </c>
      <c r="C77" s="1205" t="s">
        <v>779</v>
      </c>
      <c r="D77" s="333">
        <v>86803172</v>
      </c>
      <c r="E77" s="333">
        <v>102297647.94146946</v>
      </c>
      <c r="F77" s="333">
        <v>90611183</v>
      </c>
    </row>
    <row r="78" spans="1:6">
      <c r="A78" s="1190" t="s">
        <v>66</v>
      </c>
      <c r="B78" s="1190" t="s">
        <v>775</v>
      </c>
      <c r="C78" s="1190" t="s">
        <v>780</v>
      </c>
      <c r="D78" s="1190">
        <v>17048640</v>
      </c>
      <c r="E78" s="1190">
        <v>18931303.395031542</v>
      </c>
      <c r="F78" s="336">
        <v>17546070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1042987.9018282129</v>
      </c>
      <c r="C83" s="333">
        <v>953692.13412966602</v>
      </c>
      <c r="D83" s="333">
        <v>970231.56685422396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5422.6053907937985</v>
      </c>
    </row>
    <row r="92" spans="1:6">
      <c r="A92" s="1190" t="s">
        <v>69</v>
      </c>
      <c r="B92" s="336">
        <v>3311.7236174647869</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2269</v>
      </c>
    </row>
    <row r="98" spans="1:6">
      <c r="A98" s="1194" t="s">
        <v>72</v>
      </c>
      <c r="B98" s="333">
        <v>9</v>
      </c>
    </row>
    <row r="99" spans="1:6">
      <c r="A99" s="1194" t="s">
        <v>73</v>
      </c>
      <c r="B99" s="333">
        <v>57</v>
      </c>
    </row>
    <row r="100" spans="1:6">
      <c r="A100" s="1194" t="s">
        <v>74</v>
      </c>
      <c r="B100" s="333">
        <v>465</v>
      </c>
    </row>
    <row r="101" spans="1:6">
      <c r="A101" s="1194" t="s">
        <v>75</v>
      </c>
      <c r="B101" s="333">
        <v>121</v>
      </c>
    </row>
    <row r="102" spans="1:6">
      <c r="A102" s="1194" t="s">
        <v>76</v>
      </c>
      <c r="B102" s="333">
        <v>138</v>
      </c>
    </row>
    <row r="103" spans="1:6">
      <c r="A103" s="1194" t="s">
        <v>77</v>
      </c>
      <c r="B103" s="333">
        <v>299</v>
      </c>
    </row>
    <row r="104" spans="1:6">
      <c r="A104" s="1194" t="s">
        <v>78</v>
      </c>
      <c r="B104" s="333">
        <v>10765</v>
      </c>
    </row>
    <row r="105" spans="1:6">
      <c r="A105" s="1190" t="s">
        <v>79</v>
      </c>
      <c r="B105" s="1190">
        <v>7</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12</v>
      </c>
      <c r="C123" s="333">
        <v>21</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114</v>
      </c>
    </row>
    <row r="130" spans="1:6">
      <c r="A130" s="1194" t="s">
        <v>296</v>
      </c>
      <c r="B130" s="333">
        <v>1</v>
      </c>
    </row>
    <row r="131" spans="1:6">
      <c r="A131" s="1194" t="s">
        <v>297</v>
      </c>
      <c r="B131" s="333">
        <v>1</v>
      </c>
    </row>
    <row r="132" spans="1:6">
      <c r="A132" s="1190" t="s">
        <v>298</v>
      </c>
      <c r="B132" s="336">
        <v>20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157977.86618042554</v>
      </c>
      <c r="C3" s="43" t="s">
        <v>171</v>
      </c>
      <c r="D3" s="43"/>
      <c r="E3" s="156"/>
      <c r="F3" s="43"/>
      <c r="G3" s="43"/>
      <c r="H3" s="43"/>
      <c r="I3" s="43"/>
      <c r="J3" s="43"/>
      <c r="K3" s="96"/>
    </row>
    <row r="4" spans="1:11">
      <c r="A4" s="364" t="s">
        <v>172</v>
      </c>
      <c r="B4" s="49">
        <f>IF(ISERROR('SEAP template'!B69),0,'SEAP template'!B69)</f>
        <v>8779.3290082585845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10.694117647058825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0.20878602572733587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15.277310924369752</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64.285714285714292</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2105.73</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2105.73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0.20878602572733587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439.64699795482295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68963.543000000005</v>
      </c>
      <c r="C5" s="17">
        <f>IF(ISERROR('Eigen informatie GS &amp; warmtenet'!B57),0,'Eigen informatie GS &amp; warmtenet'!B57)</f>
        <v>0</v>
      </c>
      <c r="D5" s="30">
        <f>(SUM(HH_hh_gas_kWh,HH_rest_gas_kWh)/1000)*0.902</f>
        <v>110562.242296</v>
      </c>
      <c r="E5" s="17">
        <f>B46*B57</f>
        <v>5284.3287818199979</v>
      </c>
      <c r="F5" s="17">
        <f>B51*B62</f>
        <v>143881.28798061222</v>
      </c>
      <c r="G5" s="18"/>
      <c r="H5" s="17"/>
      <c r="I5" s="17"/>
      <c r="J5" s="17">
        <f>B50*B61+C50*C61</f>
        <v>0</v>
      </c>
      <c r="K5" s="17"/>
      <c r="L5" s="17"/>
      <c r="M5" s="17"/>
      <c r="N5" s="17">
        <f>B48*B59+C48*C59</f>
        <v>32456.392476195437</v>
      </c>
      <c r="O5" s="17">
        <f>B69*B70*B71</f>
        <v>214.17666666666668</v>
      </c>
      <c r="P5" s="17">
        <f>B77*B78*B79/1000-B77*B78*B79/1000/B80</f>
        <v>610.13333333333333</v>
      </c>
    </row>
    <row r="6" spans="1:16">
      <c r="A6" s="16" t="s">
        <v>633</v>
      </c>
      <c r="B6" s="830">
        <f>kWh_PV_kleiner_dan_10kW</f>
        <v>5422.6053907937985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74386.148390793809</v>
      </c>
      <c r="C8" s="21">
        <f>C5</f>
        <v>0</v>
      </c>
      <c r="D8" s="21">
        <f>D5</f>
        <v>110562.242296</v>
      </c>
      <c r="E8" s="21">
        <f>E5</f>
        <v>5284.3287818199979</v>
      </c>
      <c r="F8" s="21">
        <f>F5</f>
        <v>143881.28798061222</v>
      </c>
      <c r="G8" s="21"/>
      <c r="H8" s="21"/>
      <c r="I8" s="21"/>
      <c r="J8" s="21">
        <f>J5</f>
        <v>0</v>
      </c>
      <c r="K8" s="21"/>
      <c r="L8" s="21">
        <f>L5</f>
        <v>0</v>
      </c>
      <c r="M8" s="21">
        <f>M5</f>
        <v>0</v>
      </c>
      <c r="N8" s="21">
        <f>N5</f>
        <v>32456.392476195437</v>
      </c>
      <c r="O8" s="21">
        <f>O5</f>
        <v>214.17666666666668</v>
      </c>
      <c r="P8" s="21">
        <f>P5</f>
        <v>610.13333333333333</v>
      </c>
    </row>
    <row r="9" spans="1:16">
      <c r="B9" s="19"/>
      <c r="C9" s="19"/>
      <c r="D9" s="260"/>
      <c r="E9" s="19"/>
      <c r="F9" s="19"/>
      <c r="G9" s="19"/>
      <c r="H9" s="19"/>
      <c r="I9" s="19"/>
      <c r="J9" s="19"/>
      <c r="K9" s="19"/>
      <c r="L9" s="19"/>
      <c r="M9" s="19"/>
      <c r="N9" s="19"/>
      <c r="O9" s="19"/>
      <c r="P9" s="19"/>
    </row>
    <row r="10" spans="1:16">
      <c r="A10" s="24" t="s">
        <v>215</v>
      </c>
      <c r="B10" s="25">
        <f ca="1">'EF ele_warmte'!B12</f>
        <v>0.20878602572733587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15530.7882916777</v>
      </c>
      <c r="C12" s="23">
        <f ca="1">C10*C8</f>
        <v>0</v>
      </c>
      <c r="D12" s="23">
        <f>D8*D10</f>
        <v>22333.572943792002</v>
      </c>
      <c r="E12" s="23">
        <f>E10*E8</f>
        <v>1199.5426334731396</v>
      </c>
      <c r="F12" s="23">
        <f>F10*F8</f>
        <v>38416.303890823467</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2269</v>
      </c>
      <c r="C18" s="167" t="s">
        <v>111</v>
      </c>
      <c r="D18" s="229"/>
      <c r="E18" s="15"/>
    </row>
    <row r="19" spans="1:7">
      <c r="A19" s="172" t="s">
        <v>72</v>
      </c>
      <c r="B19" s="37">
        <f>aantalw2001_ander</f>
        <v>9</v>
      </c>
      <c r="C19" s="167" t="s">
        <v>111</v>
      </c>
      <c r="D19" s="230"/>
      <c r="E19" s="15"/>
    </row>
    <row r="20" spans="1:7">
      <c r="A20" s="172" t="s">
        <v>73</v>
      </c>
      <c r="B20" s="37">
        <f>aantalw2001_propaan</f>
        <v>57</v>
      </c>
      <c r="C20" s="168">
        <f>IF(ISERROR(B20/SUM($B$20,$B$21,$B$22)*100),0,B20/SUM($B$20,$B$21,$B$22)*100)</f>
        <v>8.8646967340590983</v>
      </c>
      <c r="D20" s="230"/>
      <c r="E20" s="15"/>
    </row>
    <row r="21" spans="1:7">
      <c r="A21" s="172" t="s">
        <v>74</v>
      </c>
      <c r="B21" s="37">
        <f>aantalw2001_elektriciteit</f>
        <v>465</v>
      </c>
      <c r="C21" s="168">
        <f>IF(ISERROR(B21/SUM($B$20,$B$21,$B$22)*100),0,B21/SUM($B$20,$B$21,$B$22)*100)</f>
        <v>72.317262830482107</v>
      </c>
      <c r="D21" s="230"/>
      <c r="E21" s="15"/>
    </row>
    <row r="22" spans="1:7">
      <c r="A22" s="172" t="s">
        <v>75</v>
      </c>
      <c r="B22" s="37">
        <f>aantalw2001_hout</f>
        <v>121</v>
      </c>
      <c r="C22" s="168">
        <f>IF(ISERROR(B22/SUM($B$20,$B$21,$B$22)*100),0,B22/SUM($B$20,$B$21,$B$22)*100)</f>
        <v>18.818040435458787</v>
      </c>
      <c r="D22" s="230"/>
      <c r="E22" s="15"/>
    </row>
    <row r="23" spans="1:7">
      <c r="A23" s="172" t="s">
        <v>76</v>
      </c>
      <c r="B23" s="37">
        <f>aantalw2001_niet_gespec</f>
        <v>138</v>
      </c>
      <c r="C23" s="167" t="s">
        <v>111</v>
      </c>
      <c r="D23" s="229"/>
      <c r="E23" s="15"/>
    </row>
    <row r="24" spans="1:7">
      <c r="A24" s="172" t="s">
        <v>77</v>
      </c>
      <c r="B24" s="37">
        <f>aantalw2001_steenkool</f>
        <v>299</v>
      </c>
      <c r="C24" s="167" t="s">
        <v>111</v>
      </c>
      <c r="D24" s="230"/>
      <c r="E24" s="15"/>
    </row>
    <row r="25" spans="1:7">
      <c r="A25" s="172" t="s">
        <v>78</v>
      </c>
      <c r="B25" s="37">
        <f>aantalw2001_stookolie</f>
        <v>10765</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713</v>
      </c>
      <c r="B28" s="37">
        <f>aantalHuishoudens2011</f>
        <v>16459</v>
      </c>
      <c r="C28" s="36"/>
      <c r="D28" s="229"/>
    </row>
    <row r="29" spans="1:7" s="15" customFormat="1">
      <c r="A29" s="231" t="s">
        <v>714</v>
      </c>
      <c r="B29" s="37">
        <f>SUM(HH_hh_gas_aantal,HH_rest_gas_aantal)</f>
        <v>7219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7219</v>
      </c>
      <c r="C32" s="168">
        <f>IF(ISERROR(B32/SUM($B$32,$B$34,$B$35,$B$36,$B$38,$B$39)*100),0,B32/SUM($B$32,$B$34,$B$35,$B$36,$B$38,$B$39)*100)</f>
        <v>43.945942655384428</v>
      </c>
      <c r="D32" s="234"/>
      <c r="G32" s="15"/>
    </row>
    <row r="33" spans="1:7">
      <c r="A33" s="172" t="s">
        <v>72</v>
      </c>
      <c r="B33" s="34" t="s">
        <v>111</v>
      </c>
      <c r="C33" s="168"/>
      <c r="D33" s="234"/>
      <c r="G33" s="15"/>
    </row>
    <row r="34" spans="1:7">
      <c r="A34" s="172" t="s">
        <v>73</v>
      </c>
      <c r="B34" s="33">
        <f>IF((($B$28-$B$32-$B$39-$B$77-$B$38)*C20/100)&lt;0,0,($B$28-$B$32-$B$39-$B$77-$B$38)*C20/100)</f>
        <v>256.89891135303264</v>
      </c>
      <c r="C34" s="168">
        <f>IF(ISERROR(B34/SUM($B$32,$B$34,$B$35,$B$36,$B$38,$B$39)*100),0,B34/SUM($B$32,$B$34,$B$35,$B$36,$B$38,$B$39)*100)</f>
        <v>1.5638820926099264</v>
      </c>
      <c r="D34" s="234"/>
      <c r="G34" s="15"/>
    </row>
    <row r="35" spans="1:7">
      <c r="A35" s="172" t="s">
        <v>74</v>
      </c>
      <c r="B35" s="33">
        <f>IF((($B$28-$B$32-$B$39-$B$77-$B$38)*C21/100)&lt;0,0,($B$28-$B$32-$B$39-$B$77-$B$38)*C21/100)</f>
        <v>2095.7542768273715</v>
      </c>
      <c r="C35" s="168">
        <f>IF(ISERROR(B35/SUM($B$32,$B$34,$B$35,$B$36,$B$38,$B$39)*100),0,B35/SUM($B$32,$B$34,$B$35,$B$36,$B$38,$B$39)*100)</f>
        <v>12.757985492344137</v>
      </c>
      <c r="D35" s="234"/>
      <c r="G35" s="15"/>
    </row>
    <row r="36" spans="1:7">
      <c r="A36" s="172" t="s">
        <v>75</v>
      </c>
      <c r="B36" s="33">
        <f>IF((($B$28-$B$32-$B$39-$B$77-$B$38)*C22/100)&lt;0,0,($B$28-$B$32-$B$39-$B$77-$B$38)*C22/100)</f>
        <v>545.3468118195957</v>
      </c>
      <c r="C36" s="168">
        <f>IF(ISERROR(B36/SUM($B$32,$B$34,$B$35,$B$36,$B$38,$B$39)*100),0,B36/SUM($B$32,$B$34,$B$35,$B$36,$B$38,$B$39)*100)</f>
        <v>3.3198198808035291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6310</v>
      </c>
      <c r="C39" s="168">
        <f>IF(ISERROR(B39/SUM($B$32,$B$34,$B$35,$B$36,$B$38,$B$39)*100),0,B39/SUM($B$32,$B$34,$B$35,$B$36,$B$38,$B$39)*100)</f>
        <v>38.41236987885798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7219</v>
      </c>
      <c r="C44" s="34" t="s">
        <v>111</v>
      </c>
      <c r="D44" s="175"/>
    </row>
    <row r="45" spans="1:7">
      <c r="A45" s="172" t="s">
        <v>72</v>
      </c>
      <c r="B45" s="33" t="str">
        <f t="shared" si="0"/>
        <v>-</v>
      </c>
      <c r="C45" s="34" t="s">
        <v>111</v>
      </c>
      <c r="D45" s="175"/>
    </row>
    <row r="46" spans="1:7">
      <c r="A46" s="172" t="s">
        <v>73</v>
      </c>
      <c r="B46" s="33">
        <f t="shared" si="0"/>
        <v>256.89891135303264</v>
      </c>
      <c r="C46" s="34" t="s">
        <v>111</v>
      </c>
      <c r="D46" s="175"/>
    </row>
    <row r="47" spans="1:7">
      <c r="A47" s="172" t="s">
        <v>74</v>
      </c>
      <c r="B47" s="33">
        <f t="shared" si="0"/>
        <v>2095.7542768273715</v>
      </c>
      <c r="C47" s="34" t="s">
        <v>111</v>
      </c>
      <c r="D47" s="175"/>
    </row>
    <row r="48" spans="1:7">
      <c r="A48" s="172" t="s">
        <v>75</v>
      </c>
      <c r="B48" s="33">
        <f t="shared" si="0"/>
        <v>545.3468118195957</v>
      </c>
      <c r="C48" s="33">
        <f>B48*10</f>
        <v>5453.4681181959568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6310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137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39514.486000000004</v>
      </c>
      <c r="C5" s="17">
        <f>IF(ISERROR('Eigen informatie GS &amp; warmtenet'!B58),0,'Eigen informatie GS &amp; warmtenet'!B58)</f>
        <v>0</v>
      </c>
      <c r="D5" s="30">
        <f>SUM(D6:D12)</f>
        <v>30595.314134</v>
      </c>
      <c r="E5" s="17">
        <f>SUM(E6:E12)</f>
        <v>784.57847645438619</v>
      </c>
      <c r="F5" s="17">
        <f>SUM(F6:F12)</f>
        <v>7553.8129410233696</v>
      </c>
      <c r="G5" s="18"/>
      <c r="H5" s="17"/>
      <c r="I5" s="17"/>
      <c r="J5" s="17">
        <f>SUM(J6:J12)</f>
        <v>0</v>
      </c>
      <c r="K5" s="17"/>
      <c r="L5" s="17"/>
      <c r="M5" s="17"/>
      <c r="N5" s="17">
        <f>SUM(N6:N12)</f>
        <v>1482.704340026824</v>
      </c>
      <c r="O5" s="17">
        <f>B38*B39*B40</f>
        <v>1.5633333333333335</v>
      </c>
      <c r="P5" s="17">
        <f>B46*B47*B48/1000-B46*B47*B48/1000/B49</f>
        <v>19.066666666666666</v>
      </c>
      <c r="R5" s="32"/>
    </row>
    <row r="6" spans="1:18">
      <c r="A6" s="32" t="s">
        <v>54</v>
      </c>
      <c r="B6" s="37">
        <f>B26</f>
        <v>13203.441999999999</v>
      </c>
      <c r="C6" s="33"/>
      <c r="D6" s="37">
        <f>IF(ISERROR(TER_kantoor_gas_kWh/1000),0,TER_kantoor_gas_kWh/1000)*0.902</f>
        <v>11732.388866000001</v>
      </c>
      <c r="E6" s="33">
        <f>$C$26*'E Balans VL '!I12/100/3.6*1000000</f>
        <v>462.17240899554105</v>
      </c>
      <c r="F6" s="33">
        <f>$C$26*('E Balans VL '!L12+'E Balans VL '!N12)/100/3.6*1000000</f>
        <v>2001.9252823219383</v>
      </c>
      <c r="G6" s="34"/>
      <c r="H6" s="33"/>
      <c r="I6" s="33"/>
      <c r="J6" s="33">
        <f>$C$26*('E Balans VL '!D12+'E Balans VL '!E12)/100/3.6*1000000</f>
        <v>0</v>
      </c>
      <c r="K6" s="33"/>
      <c r="L6" s="33"/>
      <c r="M6" s="33"/>
      <c r="N6" s="33">
        <f>$C$26*'E Balans VL '!Y12/100/3.6*1000000</f>
        <v>102.05847409638724</v>
      </c>
      <c r="O6" s="33"/>
      <c r="P6" s="33"/>
      <c r="R6" s="32"/>
    </row>
    <row r="7" spans="1:18">
      <c r="A7" s="32" t="s">
        <v>53</v>
      </c>
      <c r="B7" s="37">
        <f t="shared" ref="B7:B12" si="0">B27</f>
        <v>3765.154</v>
      </c>
      <c r="C7" s="33"/>
      <c r="D7" s="37">
        <f>IF(ISERROR(TER_horeca_gas_kWh/1000),0,TER_horeca_gas_kWh/1000)*0.902</f>
        <v>3062.7238620000003</v>
      </c>
      <c r="E7" s="33">
        <f>$C$27*'E Balans VL '!I9/100/3.6*1000000</f>
        <v>212.40474995546353</v>
      </c>
      <c r="F7" s="33">
        <f>$C$27*('E Balans VL '!L9+'E Balans VL '!N9)/100/3.6*1000000</f>
        <v>655.91066342976592</v>
      </c>
      <c r="G7" s="34"/>
      <c r="H7" s="33"/>
      <c r="I7" s="33"/>
      <c r="J7" s="33">
        <f>$C$27*('E Balans VL '!D9+'E Balans VL '!E9)/100/3.6*1000000</f>
        <v>0</v>
      </c>
      <c r="K7" s="33"/>
      <c r="L7" s="33"/>
      <c r="M7" s="33"/>
      <c r="N7" s="33">
        <f>$C$27*'E Balans VL '!Y9/100/3.6*1000000</f>
        <v>0</v>
      </c>
      <c r="O7" s="33"/>
      <c r="P7" s="33"/>
      <c r="R7" s="32"/>
    </row>
    <row r="8" spans="1:18">
      <c r="A8" s="6" t="s">
        <v>52</v>
      </c>
      <c r="B8" s="37">
        <f t="shared" si="0"/>
        <v>14148.156000000001</v>
      </c>
      <c r="C8" s="33"/>
      <c r="D8" s="37">
        <f>IF(ISERROR(TER_handel_gas_kWh/1000),0,TER_handel_gas_kWh/1000)*0.902</f>
        <v>7466.4493199999997</v>
      </c>
      <c r="E8" s="33">
        <f>$C$28*'E Balans VL '!I13/100/3.6*1000000</f>
        <v>72.635195472197992</v>
      </c>
      <c r="F8" s="33">
        <f>$C$28*('E Balans VL '!L13+'E Balans VL '!N13)/100/3.6*1000000</f>
        <v>2181.4270437483547</v>
      </c>
      <c r="G8" s="34"/>
      <c r="H8" s="33"/>
      <c r="I8" s="33"/>
      <c r="J8" s="33">
        <f>$C$28*('E Balans VL '!D13+'E Balans VL '!E13)/100/3.6*1000000</f>
        <v>0</v>
      </c>
      <c r="K8" s="33"/>
      <c r="L8" s="33"/>
      <c r="M8" s="33"/>
      <c r="N8" s="33">
        <f>$C$28*'E Balans VL '!Y13/100/3.6*1000000</f>
        <v>6.617265262690248</v>
      </c>
      <c r="O8" s="33"/>
      <c r="P8" s="33"/>
      <c r="R8" s="32"/>
    </row>
    <row r="9" spans="1:18">
      <c r="A9" s="32" t="s">
        <v>51</v>
      </c>
      <c r="B9" s="37">
        <f t="shared" si="0"/>
        <v>1380.845</v>
      </c>
      <c r="C9" s="33"/>
      <c r="D9" s="37">
        <f>IF(ISERROR(TER_gezond_gas_kWh/1000),0,TER_gezond_gas_kWh/1000)*0.902</f>
        <v>2559.6252440000003</v>
      </c>
      <c r="E9" s="33">
        <f>$C$29*'E Balans VL '!I10/100/3.6*1000000</f>
        <v>0.5723504184743593</v>
      </c>
      <c r="F9" s="33">
        <f>$C$29*('E Balans VL '!L10+'E Balans VL '!N10)/100/3.6*1000000</f>
        <v>340.08231954099989</v>
      </c>
      <c r="G9" s="34"/>
      <c r="H9" s="33"/>
      <c r="I9" s="33"/>
      <c r="J9" s="33">
        <f>$C$29*('E Balans VL '!D10+'E Balans VL '!E10)/100/3.6*1000000</f>
        <v>0</v>
      </c>
      <c r="K9" s="33"/>
      <c r="L9" s="33"/>
      <c r="M9" s="33"/>
      <c r="N9" s="33">
        <f>$C$29*'E Balans VL '!Y10/100/3.6*1000000</f>
        <v>11.933918564143353</v>
      </c>
      <c r="O9" s="33"/>
      <c r="P9" s="33"/>
      <c r="R9" s="32"/>
    </row>
    <row r="10" spans="1:18">
      <c r="A10" s="32" t="s">
        <v>50</v>
      </c>
      <c r="B10" s="37">
        <f t="shared" si="0"/>
        <v>5895.5190000000002</v>
      </c>
      <c r="C10" s="33"/>
      <c r="D10" s="37">
        <f>IF(ISERROR(TER_ander_gas_kWh/1000),0,TER_ander_gas_kWh/1000)*0.902</f>
        <v>3715.0087700000004</v>
      </c>
      <c r="E10" s="33">
        <f>$C$30*'E Balans VL '!I14/100/3.6*1000000</f>
        <v>35.939229282356607</v>
      </c>
      <c r="F10" s="33">
        <f>$C$30*('E Balans VL '!L14+'E Balans VL '!N14)/100/3.6*1000000</f>
        <v>1562.9828463493579</v>
      </c>
      <c r="G10" s="34"/>
      <c r="H10" s="33"/>
      <c r="I10" s="33"/>
      <c r="J10" s="33">
        <f>$C$30*('E Balans VL '!D14+'E Balans VL '!E14)/100/3.6*1000000</f>
        <v>0</v>
      </c>
      <c r="K10" s="33"/>
      <c r="L10" s="33"/>
      <c r="M10" s="33"/>
      <c r="N10" s="33">
        <f>$C$30*'E Balans VL '!Y14/100/3.6*1000000</f>
        <v>1358.7897367110568</v>
      </c>
      <c r="O10" s="33"/>
      <c r="P10" s="33"/>
      <c r="R10" s="32"/>
    </row>
    <row r="11" spans="1:18">
      <c r="A11" s="32" t="s">
        <v>55</v>
      </c>
      <c r="B11" s="37">
        <f t="shared" si="0"/>
        <v>1121.3699999999999</v>
      </c>
      <c r="C11" s="33"/>
      <c r="D11" s="37">
        <f>IF(ISERROR(TER_onderwijs_gas_kWh/1000),0,TER_onderwijs_gas_kWh/1000)*0.902</f>
        <v>2059.1180719999998</v>
      </c>
      <c r="E11" s="33">
        <f>$C$31*'E Balans VL '!I11/100/3.6*1000000</f>
        <v>0.85454233035275518</v>
      </c>
      <c r="F11" s="33">
        <f>$C$31*('E Balans VL '!L11+'E Balans VL '!N11)/100/3.6*1000000</f>
        <v>811.48478563295214</v>
      </c>
      <c r="G11" s="34"/>
      <c r="H11" s="33"/>
      <c r="I11" s="33"/>
      <c r="J11" s="33">
        <f>$C$31*('E Balans VL '!D11+'E Balans VL '!E11)/100/3.6*1000000</f>
        <v>0</v>
      </c>
      <c r="K11" s="33"/>
      <c r="L11" s="33"/>
      <c r="M11" s="33"/>
      <c r="N11" s="33">
        <f>$C$31*'E Balans VL '!Y11/100/3.6*1000000</f>
        <v>3.3049453925464669</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45</v>
      </c>
      <c r="C13" s="248">
        <f ca="1">'lokale energieproductie'!O90+'lokale energieproductie'!O59</f>
        <v>64.285714285714292</v>
      </c>
      <c r="D13" s="311">
        <f ca="1">('lokale energieproductie'!P59+'lokale energieproductie'!P90)*(-1)</f>
        <v>-128.57142857142858</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39559.486000000004</v>
      </c>
      <c r="C16" s="21">
        <f ca="1">C5+C13+C14</f>
        <v>64.285714285714292</v>
      </c>
      <c r="D16" s="21">
        <f t="shared" ref="D16:N16" ca="1" si="1">MAX((D5+D13+D14),0)</f>
        <v>30466.742705428573</v>
      </c>
      <c r="E16" s="21">
        <f t="shared" si="1"/>
        <v>784.57847645438619</v>
      </c>
      <c r="F16" s="21">
        <f t="shared" ca="1" si="1"/>
        <v>7553.8129410233696</v>
      </c>
      <c r="G16" s="21">
        <f t="shared" si="1"/>
        <v>0</v>
      </c>
      <c r="H16" s="21">
        <f t="shared" si="1"/>
        <v>0</v>
      </c>
      <c r="I16" s="21">
        <f t="shared" si="1"/>
        <v>0</v>
      </c>
      <c r="J16" s="21">
        <f t="shared" si="1"/>
        <v>0</v>
      </c>
      <c r="K16" s="21">
        <f t="shared" si="1"/>
        <v>0</v>
      </c>
      <c r="L16" s="21">
        <f t="shared" ca="1" si="1"/>
        <v>0</v>
      </c>
      <c r="M16" s="21">
        <f t="shared" si="1"/>
        <v>0</v>
      </c>
      <c r="N16" s="21">
        <f t="shared" ca="1" si="1"/>
        <v>1482.704340026824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0.20878602572733587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8259.467861756184</v>
      </c>
      <c r="C20" s="23">
        <f t="shared" ref="C20:P20" ca="1" si="2">C16*C18</f>
        <v>15.277310924369752</v>
      </c>
      <c r="D20" s="23">
        <f t="shared" ca="1" si="2"/>
        <v>6154.2820264965721</v>
      </c>
      <c r="E20" s="23">
        <f t="shared" si="2"/>
        <v>178.09931415514566</v>
      </c>
      <c r="F20" s="23">
        <f t="shared" ca="1" si="2"/>
        <v>2016.8680552532398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13203.441999999999</v>
      </c>
      <c r="C26" s="39">
        <f>IF(ISERROR(B26*3.6/1000000/'E Balans VL '!Z12*100),0,B26*3.6/1000000/'E Balans VL '!Z12*100)</f>
        <v>0.27784454062962738</v>
      </c>
      <c r="D26" s="238" t="s">
        <v>720</v>
      </c>
      <c r="F26" s="6"/>
    </row>
    <row r="27" spans="1:18">
      <c r="A27" s="232" t="s">
        <v>53</v>
      </c>
      <c r="B27" s="33">
        <f>IF(ISERROR(TER_horeca_ele_kWh/1000),0,TER_horeca_ele_kWh/1000)</f>
        <v>3765.154</v>
      </c>
      <c r="C27" s="39">
        <f>IF(ISERROR(B27*3.6/1000000/'E Balans VL '!Z9*100),0,B27*3.6/1000000/'E Balans VL '!Z9*100)</f>
        <v>0.31878500919523733</v>
      </c>
      <c r="D27" s="238" t="s">
        <v>720</v>
      </c>
      <c r="F27" s="6"/>
    </row>
    <row r="28" spans="1:18">
      <c r="A28" s="172" t="s">
        <v>52</v>
      </c>
      <c r="B28" s="33">
        <f>IF(ISERROR(TER_handel_ele_kWh/1000),0,TER_handel_ele_kWh/1000)</f>
        <v>14148.156000000001</v>
      </c>
      <c r="C28" s="39">
        <f>IF(ISERROR(B28*3.6/1000000/'E Balans VL '!Z13*100),0,B28*3.6/1000000/'E Balans VL '!Z13*100)</f>
        <v>0.3916897424664898</v>
      </c>
      <c r="D28" s="238" t="s">
        <v>720</v>
      </c>
      <c r="F28" s="6"/>
    </row>
    <row r="29" spans="1:18">
      <c r="A29" s="232" t="s">
        <v>51</v>
      </c>
      <c r="B29" s="33">
        <f>IF(ISERROR(TER_gezond_ele_kWh/1000),0,TER_gezond_ele_kWh/1000)</f>
        <v>1380.845</v>
      </c>
      <c r="C29" s="39">
        <f>IF(ISERROR(B29*3.6/1000000/'E Balans VL '!Z10*100),0,B29*3.6/1000000/'E Balans VL '!Z10*100)</f>
        <v>0.17949454154836691</v>
      </c>
      <c r="D29" s="238" t="s">
        <v>720</v>
      </c>
      <c r="F29" s="6"/>
    </row>
    <row r="30" spans="1:18">
      <c r="A30" s="232" t="s">
        <v>50</v>
      </c>
      <c r="B30" s="33">
        <f>IF(ISERROR(TER_ander_ele_kWh/1000),0,TER_ander_ele_kWh/1000)</f>
        <v>5895.5190000000002</v>
      </c>
      <c r="C30" s="39">
        <f>IF(ISERROR(B30*3.6/1000000/'E Balans VL '!Z14*100),0,B30*3.6/1000000/'E Balans VL '!Z14*100)</f>
        <v>0.45695678853938987</v>
      </c>
      <c r="D30" s="238" t="s">
        <v>720</v>
      </c>
      <c r="F30" s="6"/>
    </row>
    <row r="31" spans="1:18">
      <c r="A31" s="232" t="s">
        <v>55</v>
      </c>
      <c r="B31" s="33">
        <f>IF(ISERROR(TER_onderwijs_ele_kWh/1000),0,TER_onderwijs_ele_kWh/1000)</f>
        <v>1121.3699999999999</v>
      </c>
      <c r="C31" s="39">
        <f>IF(ISERROR(B31*3.6/1000000/'E Balans VL '!Z11*100),0,B31*3.6/1000000/'E Balans VL '!Z11*100)</f>
        <v>0.21453718874043926</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41111.575000000012</v>
      </c>
      <c r="C5" s="17">
        <f>IF(ISERROR('Eigen informatie GS &amp; warmtenet'!B59),0,'Eigen informatie GS &amp; warmtenet'!B59)</f>
        <v>0</v>
      </c>
      <c r="D5" s="30">
        <f>SUM(D6:D15)</f>
        <v>33824.626571999994</v>
      </c>
      <c r="E5" s="17">
        <f>SUM(E6:E15)</f>
        <v>773.84445541695663</v>
      </c>
      <c r="F5" s="17">
        <f>SUM(F6:F15)</f>
        <v>9218.3450308162337</v>
      </c>
      <c r="G5" s="18"/>
      <c r="H5" s="17"/>
      <c r="I5" s="17"/>
      <c r="J5" s="17">
        <f>SUM(J6:J15)</f>
        <v>145.50089138655778</v>
      </c>
      <c r="K5" s="17"/>
      <c r="L5" s="17"/>
      <c r="M5" s="17"/>
      <c r="N5" s="17">
        <f>SUM(N6:N15)</f>
        <v>490.55265672971217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4920.5460000000003</v>
      </c>
      <c r="C8" s="33"/>
      <c r="D8" s="37">
        <f>IF( ISERROR(IND_metaal_Gas_kWH/1000),0,IND_metaal_Gas_kWH/1000)*0.902</f>
        <v>9105.4049679999989</v>
      </c>
      <c r="E8" s="33">
        <f>C30*'E Balans VL '!I18/100/3.6*1000000</f>
        <v>34.575591072771346</v>
      </c>
      <c r="F8" s="33">
        <f>C30*'E Balans VL '!L18/100/3.6*1000000+C30*'E Balans VL '!N18/100/3.6*1000000</f>
        <v>540.24716277233665</v>
      </c>
      <c r="G8" s="34"/>
      <c r="H8" s="33"/>
      <c r="I8" s="33"/>
      <c r="J8" s="40">
        <f>C30*'E Balans VL '!D18/100/3.6*1000000+C30*'E Balans VL '!E18/100/3.6*1000000</f>
        <v>101.52146968436418</v>
      </c>
      <c r="K8" s="33"/>
      <c r="L8" s="33"/>
      <c r="M8" s="33"/>
      <c r="N8" s="33">
        <f>C30*'E Balans VL '!Y18/100/3.6*1000000</f>
        <v>18.442560785342817</v>
      </c>
      <c r="O8" s="33"/>
      <c r="P8" s="33"/>
      <c r="R8" s="32"/>
    </row>
    <row r="9" spans="1:18">
      <c r="A9" s="6" t="s">
        <v>33</v>
      </c>
      <c r="B9" s="37">
        <f t="shared" si="0"/>
        <v>4461.6790000000001</v>
      </c>
      <c r="C9" s="33"/>
      <c r="D9" s="37">
        <f>IF( ISERROR(IND_andere_gas_kWh/1000),0,IND_andere_gas_kWh/1000)*0.902</f>
        <v>3122.6274860000003</v>
      </c>
      <c r="E9" s="33">
        <f>C31*'E Balans VL '!I19/100/3.6*1000000</f>
        <v>74.939364536286092</v>
      </c>
      <c r="F9" s="33">
        <f>C31*'E Balans VL '!L19/100/3.6*1000000+C31*'E Balans VL '!N19/100/3.6*1000000</f>
        <v>3487.8865239385545</v>
      </c>
      <c r="G9" s="34"/>
      <c r="H9" s="33"/>
      <c r="I9" s="33"/>
      <c r="J9" s="40">
        <f>C31*'E Balans VL '!D19/100/3.6*1000000+C31*'E Balans VL '!E19/100/3.6*1000000</f>
        <v>0.40240406084210562</v>
      </c>
      <c r="K9" s="33"/>
      <c r="L9" s="33"/>
      <c r="M9" s="33"/>
      <c r="N9" s="33">
        <f>C31*'E Balans VL '!Y19/100/3.6*1000000</f>
        <v>330.68199523772967</v>
      </c>
      <c r="O9" s="33"/>
      <c r="P9" s="33"/>
      <c r="R9" s="32"/>
    </row>
    <row r="10" spans="1:18">
      <c r="A10" s="6" t="s">
        <v>41</v>
      </c>
      <c r="B10" s="37">
        <f t="shared" si="0"/>
        <v>8159.24</v>
      </c>
      <c r="C10" s="33"/>
      <c r="D10" s="37">
        <f>IF( ISERROR(IND_voed_gas_kWh/1000),0,IND_voed_gas_kWh/1000)*0.902</f>
        <v>6991.5012200000001</v>
      </c>
      <c r="E10" s="33">
        <f>C32*'E Balans VL '!I20/100/3.6*1000000</f>
        <v>74.441515187981011</v>
      </c>
      <c r="F10" s="33">
        <f>C32*'E Balans VL '!L20/100/3.6*1000000+C32*'E Balans VL '!N20/100/3.6*1000000</f>
        <v>1316.3406180920197</v>
      </c>
      <c r="G10" s="34"/>
      <c r="H10" s="33"/>
      <c r="I10" s="33"/>
      <c r="J10" s="40">
        <f>C32*'E Balans VL '!D20/100/3.6*1000000+C32*'E Balans VL '!E20/100/3.6*1000000</f>
        <v>33.605099776684888</v>
      </c>
      <c r="K10" s="33"/>
      <c r="L10" s="33"/>
      <c r="M10" s="33"/>
      <c r="N10" s="33">
        <f>C32*'E Balans VL '!Y20/100/3.6*1000000</f>
        <v>119.36324745869018</v>
      </c>
      <c r="O10" s="33"/>
      <c r="P10" s="33"/>
      <c r="R10" s="32"/>
    </row>
    <row r="11" spans="1:18">
      <c r="A11" s="6" t="s">
        <v>40</v>
      </c>
      <c r="B11" s="37">
        <f t="shared" si="0"/>
        <v>333.99</v>
      </c>
      <c r="C11" s="33"/>
      <c r="D11" s="37">
        <f>IF( ISERROR(IND_textiel_gas_kWh/1000),0,IND_textiel_gas_kWh/1000)*0.902</f>
        <v>0</v>
      </c>
      <c r="E11" s="33">
        <f>C33*'E Balans VL '!I21/100/3.6*1000000</f>
        <v>0.76176923750379355</v>
      </c>
      <c r="F11" s="33">
        <f>C33*'E Balans VL '!L21/100/3.6*1000000+C33*'E Balans VL '!N21/100/3.6*1000000</f>
        <v>7.1393460243294218</v>
      </c>
      <c r="G11" s="34"/>
      <c r="H11" s="33"/>
      <c r="I11" s="33"/>
      <c r="J11" s="40">
        <f>C33*'E Balans VL '!D21/100/3.6*1000000+C33*'E Balans VL '!E21/100/3.6*1000000</f>
        <v>0</v>
      </c>
      <c r="K11" s="33"/>
      <c r="L11" s="33"/>
      <c r="M11" s="33"/>
      <c r="N11" s="33">
        <f>C33*'E Balans VL '!Y21/100/3.6*1000000</f>
        <v>2.3692800015607878</v>
      </c>
      <c r="O11" s="33"/>
      <c r="P11" s="33"/>
      <c r="R11" s="32"/>
    </row>
    <row r="12" spans="1:18">
      <c r="A12" s="6" t="s">
        <v>37</v>
      </c>
      <c r="B12" s="37">
        <f t="shared" si="0"/>
        <v>1755.4380000000001</v>
      </c>
      <c r="C12" s="33"/>
      <c r="D12" s="37">
        <f>IF( ISERROR(IND_min_gas_kWh/1000),0,IND_min_gas_kWh/1000)*0.902</f>
        <v>274.35232000000002</v>
      </c>
      <c r="E12" s="33">
        <f>C34*'E Balans VL '!I22/100/3.6*1000000</f>
        <v>43.540569413753687</v>
      </c>
      <c r="F12" s="33">
        <f>C34*'E Balans VL '!L22/100/3.6*1000000+C34*'E Balans VL '!N22/100/3.6*1000000</f>
        <v>186.53209581228529</v>
      </c>
      <c r="G12" s="34"/>
      <c r="H12" s="33"/>
      <c r="I12" s="33"/>
      <c r="J12" s="40">
        <f>C34*'E Balans VL '!D22/100/3.6*1000000+C34*'E Balans VL '!E22/100/3.6*1000000</f>
        <v>9.9719178646666116</v>
      </c>
      <c r="K12" s="33"/>
      <c r="L12" s="33"/>
      <c r="M12" s="33"/>
      <c r="N12" s="33">
        <f>C34*'E Balans VL '!Y22/100/3.6*1000000</f>
        <v>0</v>
      </c>
      <c r="O12" s="33"/>
      <c r="P12" s="33"/>
      <c r="R12" s="32"/>
    </row>
    <row r="13" spans="1:18">
      <c r="A13" s="6" t="s">
        <v>39</v>
      </c>
      <c r="B13" s="37">
        <f t="shared" si="0"/>
        <v>17268.382000000001</v>
      </c>
      <c r="C13" s="33"/>
      <c r="D13" s="37">
        <f>IF( ISERROR(IND_papier_gas_kWh/1000),0,IND_papier_gas_kWh/1000)*0.902</f>
        <v>13185.352113999999</v>
      </c>
      <c r="E13" s="33">
        <f>C35*'E Balans VL '!I23/100/3.6*1000000</f>
        <v>531.30304767671203</v>
      </c>
      <c r="F13" s="33">
        <f>C35*'E Balans VL '!L23/100/3.6*1000000+C35*'E Balans VL '!N23/100/3.6*1000000</f>
        <v>3666.6809928950156</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4212.3</v>
      </c>
      <c r="C14" s="33"/>
      <c r="D14" s="37">
        <f>IF( ISERROR(IND_chemie_gas_kWh/1000),0,IND_chemie_gas_kWh/1000)*0.902</f>
        <v>963.09606799999995</v>
      </c>
      <c r="E14" s="33">
        <f>C36*'E Balans VL '!I24/100/3.6*1000000</f>
        <v>14.282598291948702</v>
      </c>
      <c r="F14" s="33">
        <f>C36*'E Balans VL '!L24/100/3.6*1000000+C36*'E Balans VL '!N24/100/3.6*1000000</f>
        <v>13.51829128169326</v>
      </c>
      <c r="G14" s="34"/>
      <c r="H14" s="33"/>
      <c r="I14" s="33"/>
      <c r="J14" s="40">
        <f>C36*'E Balans VL '!D24/100/3.6*1000000+C36*'E Balans VL '!E24/100/3.6*1000000</f>
        <v>0</v>
      </c>
      <c r="K14" s="33"/>
      <c r="L14" s="33"/>
      <c r="M14" s="33"/>
      <c r="N14" s="33">
        <f>C36*'E Balans VL '!Y24/100/3.6*1000000</f>
        <v>19.69557324638868</v>
      </c>
      <c r="O14" s="33"/>
      <c r="P14" s="33"/>
      <c r="R14" s="32"/>
    </row>
    <row r="15" spans="1:18">
      <c r="A15" s="6" t="s">
        <v>271</v>
      </c>
      <c r="B15" s="37">
        <f t="shared" si="0"/>
        <v>0</v>
      </c>
      <c r="C15" s="33"/>
      <c r="D15" s="37">
        <f>IF( ISERROR(IND_rest_gas_kWh/1000),0,IND_rest_gas_kWh/1000)*0.902</f>
        <v>182.29239600000002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41111.575000000012</v>
      </c>
      <c r="C18" s="21">
        <f>C5+C16</f>
        <v>0</v>
      </c>
      <c r="D18" s="21">
        <f>MAX((D5+D16),0)</f>
        <v>33824.626571999994</v>
      </c>
      <c r="E18" s="21">
        <f>MAX((E5+E16),0)</f>
        <v>773.84445541695663</v>
      </c>
      <c r="F18" s="21">
        <f>MAX((F5+F16),0)</f>
        <v>9218.3450308162337</v>
      </c>
      <c r="G18" s="21"/>
      <c r="H18" s="21"/>
      <c r="I18" s="21"/>
      <c r="J18" s="21">
        <f>MAX((J5+J16),0)</f>
        <v>145.50089138655778</v>
      </c>
      <c r="K18" s="21"/>
      <c r="L18" s="21">
        <f>MAX((L5+L16),0)</f>
        <v>0</v>
      </c>
      <c r="M18" s="21"/>
      <c r="N18" s="21">
        <f>MAX((N5+N16),0)</f>
        <v>490.55265672971217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0.20878602572733587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8583.5223556413002</v>
      </c>
      <c r="C22" s="23">
        <f ca="1">C18*C20</f>
        <v>0</v>
      </c>
      <c r="D22" s="23">
        <f>D18*D20</f>
        <v>6832.5745675439994</v>
      </c>
      <c r="E22" s="23">
        <f>E18*E20</f>
        <v>175.66269137964917</v>
      </c>
      <c r="F22" s="23">
        <f>F18*F20</f>
        <v>2461.2981232279344</v>
      </c>
      <c r="G22" s="23"/>
      <c r="H22" s="23"/>
      <c r="I22" s="23"/>
      <c r="J22" s="23">
        <f>J18*J20</f>
        <v>51.507315550841454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4920.5460000000003</v>
      </c>
      <c r="C30" s="39">
        <f>IF(ISERROR(B30*3.6/1000000/'E Balans VL '!Z18*100),0,B30*3.6/1000000/'E Balans VL '!Z18*100)</f>
        <v>0.32756375195717935</v>
      </c>
      <c r="D30" s="238" t="s">
        <v>720</v>
      </c>
    </row>
    <row r="31" spans="1:18">
      <c r="A31" s="6" t="s">
        <v>33</v>
      </c>
      <c r="B31" s="37">
        <f>IF( ISERROR(IND_ander_ele_kWh/1000),0,IND_ander_ele_kWh/1000)</f>
        <v>4461.6790000000001</v>
      </c>
      <c r="C31" s="39">
        <f>IF(ISERROR(B31*3.6/1000000/'E Balans VL '!Z19*100),0,B31*3.6/1000000/'E Balans VL '!Z19*100)</f>
        <v>0.19776854867325327</v>
      </c>
      <c r="D31" s="238" t="s">
        <v>720</v>
      </c>
    </row>
    <row r="32" spans="1:18">
      <c r="A32" s="172" t="s">
        <v>41</v>
      </c>
      <c r="B32" s="37">
        <f>IF( ISERROR(IND_voed_ele_kWh/1000),0,IND_voed_ele_kWh/1000)</f>
        <v>8159.24</v>
      </c>
      <c r="C32" s="39">
        <f>IF(ISERROR(B32*3.6/1000000/'E Balans VL '!Z20*100),0,B32*3.6/1000000/'E Balans VL '!Z20*100)</f>
        <v>0.27254202183025356</v>
      </c>
      <c r="D32" s="238" t="s">
        <v>720</v>
      </c>
    </row>
    <row r="33" spans="1:5">
      <c r="A33" s="172" t="s">
        <v>40</v>
      </c>
      <c r="B33" s="37">
        <f>IF( ISERROR(IND_textiel_ele_kWh/1000),0,IND_textiel_ele_kWh/1000)</f>
        <v>333.99</v>
      </c>
      <c r="C33" s="39">
        <f>IF(ISERROR(B33*3.6/1000000/'E Balans VL '!Z21*100),0,B33*3.6/1000000/'E Balans VL '!Z21*100)</f>
        <v>4.3970553694292383E-2</v>
      </c>
      <c r="D33" s="238" t="s">
        <v>720</v>
      </c>
    </row>
    <row r="34" spans="1:5">
      <c r="A34" s="172" t="s">
        <v>37</v>
      </c>
      <c r="B34" s="37">
        <f>IF( ISERROR(IND_min_ele_kWh/1000),0,IND_min_ele_kWh/1000)</f>
        <v>1755.4380000000001</v>
      </c>
      <c r="C34" s="39">
        <f>IF(ISERROR(B34*3.6/1000000/'E Balans VL '!Z22*100),0,B34*3.6/1000000/'E Balans VL '!Z22*100)</f>
        <v>0.34141340860964736</v>
      </c>
      <c r="D34" s="238" t="s">
        <v>720</v>
      </c>
    </row>
    <row r="35" spans="1:5">
      <c r="A35" s="172" t="s">
        <v>39</v>
      </c>
      <c r="B35" s="37">
        <f>IF( ISERROR(IND_papier_ele_kWh/1000),0,IND_papier_ele_kWh/1000)</f>
        <v>17268.382000000001</v>
      </c>
      <c r="C35" s="39">
        <f>IF(ISERROR(B35*3.6/1000000/'E Balans VL '!Z22*100),0,B35*3.6/1000000/'E Balans VL '!Z22*100)</f>
        <v>3.3585106166059293</v>
      </c>
      <c r="D35" s="238" t="s">
        <v>720</v>
      </c>
    </row>
    <row r="36" spans="1:5">
      <c r="A36" s="172" t="s">
        <v>34</v>
      </c>
      <c r="B36" s="37">
        <f>IF( ISERROR(IND_chemie_ele_kWh/1000),0,IND_chemie_ele_kWh/1000)</f>
        <v>4212.3</v>
      </c>
      <c r="C36" s="39">
        <f>IF(ISERROR(B36*3.6/1000000/'E Balans VL '!Z24*100),0,B36*3.6/1000000/'E Balans VL '!Z24*100)</f>
        <v>9.8916149402055661E-2</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812.85500000000002</v>
      </c>
      <c r="C5" s="17">
        <f>'Eigen informatie GS &amp; warmtenet'!B60</f>
        <v>0</v>
      </c>
      <c r="D5" s="30">
        <f>IF(ISERROR(SUM(LB_lb_gas_kWh,LB_rest_gas_kWh,onbekend_gas_kWh)/1000),0,SUM(LB_lb_gas_kWh,LB_rest_gas_kWh,onbekend_gas_kWh)/1000)*0.902</f>
        <v>514.42052200000001</v>
      </c>
      <c r="E5" s="17">
        <f>B17*'E Balans VL '!I25/3.6*1000000/100</f>
        <v>8.5123935359312437</v>
      </c>
      <c r="F5" s="17">
        <f>B17*('E Balans VL '!L25/3.6*1000000+'E Balans VL '!N25/3.6*1000000)/100</f>
        <v>4174.952706241962</v>
      </c>
      <c r="G5" s="18"/>
      <c r="H5" s="17"/>
      <c r="I5" s="17"/>
      <c r="J5" s="17">
        <f>('E Balans VL '!D25+'E Balans VL '!E25)/3.6*1000000*landbouw!B17/100</f>
        <v>72.595237243657323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812.85500000000002</v>
      </c>
      <c r="C8" s="21">
        <f>C5+C6</f>
        <v>0</v>
      </c>
      <c r="D8" s="21">
        <f>MAX((D5+D6),0)</f>
        <v>514.42052200000001</v>
      </c>
      <c r="E8" s="21">
        <f>MAX((E5+E6),0)</f>
        <v>8.5123935359312437</v>
      </c>
      <c r="F8" s="21">
        <f>MAX((F5+F6),0)</f>
        <v>4174.952706241962</v>
      </c>
      <c r="G8" s="21"/>
      <c r="H8" s="21"/>
      <c r="I8" s="21"/>
      <c r="J8" s="21">
        <f>MAX((J5+J6),0)</f>
        <v>72.595237243657323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0.20878602572733587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169.71276494259359</v>
      </c>
      <c r="C12" s="23">
        <f ca="1">C8*C10</f>
        <v>0</v>
      </c>
      <c r="D12" s="23">
        <f>D8*D10</f>
        <v>103.912945444</v>
      </c>
      <c r="E12" s="23">
        <f>E8*E10</f>
        <v>1.9323133326563924</v>
      </c>
      <c r="F12" s="23">
        <f>F8*F10</f>
        <v>1114.712372566604</v>
      </c>
      <c r="G12" s="23"/>
      <c r="H12" s="23"/>
      <c r="I12" s="23"/>
      <c r="J12" s="23">
        <f>J8*J10</f>
        <v>25.698713984254692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0.12511407550117251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68.536599212989486</v>
      </c>
      <c r="C26" s="248">
        <f>B26*'GWP N2O_CH4'!B5</f>
        <v>1439.2685834727793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37.018997559315302</v>
      </c>
      <c r="C27" s="248">
        <f>B27*'GWP N2O_CH4'!B5</f>
        <v>777.3989487456214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0.98629384393764197</v>
      </c>
      <c r="C28" s="248">
        <f>B28*'GWP N2O_CH4'!B4</f>
        <v>305.751091620669</v>
      </c>
      <c r="D28" s="50"/>
    </row>
    <row r="29" spans="1:4">
      <c r="A29" s="41" t="s">
        <v>278</v>
      </c>
      <c r="B29" s="248">
        <f>B34*'ha_N2O bodem landbouw'!B4</f>
        <v>17.733209923009213</v>
      </c>
      <c r="C29" s="248">
        <f>B29*'GWP N2O_CH4'!B4</f>
        <v>5497.2950761328557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2.9306458423785367E-3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7.4584426741691466E-6</v>
      </c>
      <c r="C5" s="446" t="s">
        <v>212</v>
      </c>
      <c r="D5" s="431">
        <f>SUM(D6:D11)</f>
        <v>4.0658728847731913E-5</v>
      </c>
      <c r="E5" s="431">
        <f>SUM(E6:E11)</f>
        <v>4.3564959860366457E-3</v>
      </c>
      <c r="F5" s="444" t="s">
        <v>212</v>
      </c>
      <c r="G5" s="431">
        <f>SUM(G6:G11)</f>
        <v>0.72860301481176615</v>
      </c>
      <c r="H5" s="431">
        <f>SUM(H6:H11)</f>
        <v>0.13633500615809271</v>
      </c>
      <c r="I5" s="446" t="s">
        <v>212</v>
      </c>
      <c r="J5" s="446" t="s">
        <v>212</v>
      </c>
      <c r="K5" s="446" t="s">
        <v>212</v>
      </c>
      <c r="L5" s="446" t="s">
        <v>212</v>
      </c>
      <c r="M5" s="431">
        <f>SUM(M6:M11)</f>
        <v>3.7770305111427011E-2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2.5917841185544412E-6</v>
      </c>
      <c r="C6" s="432"/>
      <c r="D6" s="432">
        <f>vkm_2011_GW_PW*SUMIFS(TableVerdeelsleutelVkm[CNG],TableVerdeelsleutelVkm[Voertuigtype],"Lichte voertuigen")*SUMIFS(TableECFTransport[EnergieConsumptieFactor (PJ per km)],TableECFTransport[Index],CONCATENATE($A6,"_CNG_CNG"))</f>
        <v>1.1172880066434886E-5</v>
      </c>
      <c r="E6" s="434">
        <f>vkm_2011_GW_PW*SUMIFS(TableVerdeelsleutelVkm[LPG],TableVerdeelsleutelVkm[Voertuigtype],"Lichte voertuigen")*SUMIFS(TableECFTransport[EnergieConsumptieFactor (PJ per km)],TableECFTransport[Index],CONCATENATE($A6,"_LPG_LPG"))</f>
        <v>1.1624696155593103E-3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0.142986954017087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3.7645501871180868E-2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7.9161802022038544E-3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3.8364304696088827E-2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1.3154588441286962E-5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1.6572660806291855E-3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2.3717182159153591E-6</v>
      </c>
      <c r="C8" s="432"/>
      <c r="D8" s="434">
        <f>vkm_2011_NGW_PW*SUMIFS(TableVerdeelsleutelVkm[CNG],TableVerdeelsleutelVkm[Voertuigtype],"Lichte voertuigen")*SUMIFS(TableECFTransport[EnergieConsumptieFactor (PJ per km)],TableECFTransport[Index],CONCATENATE($A8,"_CNG_CNG"))</f>
        <v>1.8342466594685311E-5</v>
      </c>
      <c r="E8" s="434">
        <f>vkm_2011_NGW_PW*SUMIFS(TableVerdeelsleutelVkm[LPG],TableVerdeelsleutelVkm[Voertuigtype],"Lichte voertuigen")*SUMIFS(TableECFTransport[EnergieConsumptieFactor (PJ per km)],TableECFTransport[Index],CONCATENATE($A8,"_LPG_LPG"))</f>
        <v>1.7425300130013695E-3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0.20329279226156718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5.899465363718432E-2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1.1508047411681394E-2</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2.6032764803911753E-2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7.7544767262667752E-6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1.1245124490334233E-3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2.4949403396993468E-6</v>
      </c>
      <c r="C10" s="432"/>
      <c r="D10" s="434">
        <f>vkm_2011_SW_PW*SUMIFS(TableVerdeelsleutelVkm[CNG],TableVerdeelsleutelVkm[Voertuigtype],"Lichte voertuigen")*SUMIFS(TableECFTransport[EnergieConsumptieFactor (PJ per km)],TableECFTransport[Index],CONCATENATE($A10,"_CNG_CNG"))</f>
        <v>1.1143382186611716E-5</v>
      </c>
      <c r="E10" s="434">
        <f>vkm_2011_SW_PW*SUMIFS(TableVerdeelsleutelVkm[LPG],TableVerdeelsleutelVkm[Voertuigtype],"Lichte voertuigen")*SUMIFS(TableECFTransport[EnergieConsumptieFactor (PJ per km)],TableECFTransport[Index],CONCATENATE($A10,"_LPG_LPG"))</f>
        <v>1.451496357475966E-3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0.16413724083591247</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3.9617678572956908E-2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8.9207407657762496E-3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0.15378895819719901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5.6263011603076125E-5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6.6435582021029055E-3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2.0717896317136519</v>
      </c>
      <c r="C14" s="21"/>
      <c r="D14" s="21">
        <f t="shared" ref="D14:M14" si="0">((D5)*10^9/3600)+D12</f>
        <v>11.294091346592198</v>
      </c>
      <c r="E14" s="21">
        <f t="shared" si="0"/>
        <v>1210.1377738990684</v>
      </c>
      <c r="F14" s="21"/>
      <c r="G14" s="21">
        <f t="shared" si="0"/>
        <v>202389.72633660171</v>
      </c>
      <c r="H14" s="21">
        <f t="shared" si="0"/>
        <v>37870.835043914638</v>
      </c>
      <c r="I14" s="21"/>
      <c r="J14" s="21"/>
      <c r="K14" s="21"/>
      <c r="L14" s="21"/>
      <c r="M14" s="21">
        <f t="shared" si="0"/>
        <v>10491.751419840835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0.20878602572733587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0.43256072334859424</v>
      </c>
      <c r="C18" s="23"/>
      <c r="D18" s="23">
        <f t="shared" ref="D18:M18" si="1">D14*D16</f>
        <v>2.2814064520116242</v>
      </c>
      <c r="E18" s="23">
        <f t="shared" si="1"/>
        <v>274.70127467508854</v>
      </c>
      <c r="F18" s="23"/>
      <c r="G18" s="23">
        <f t="shared" si="1"/>
        <v>54038.056931872663</v>
      </c>
      <c r="H18" s="23">
        <f t="shared" si="1"/>
        <v>9429.8379259347439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1.3694832556372202E-2</v>
      </c>
      <c r="H50" s="322">
        <f t="shared" si="2"/>
        <v>0</v>
      </c>
      <c r="I50" s="322">
        <f t="shared" si="2"/>
        <v>0</v>
      </c>
      <c r="J50" s="322">
        <f t="shared" si="2"/>
        <v>0</v>
      </c>
      <c r="K50" s="322">
        <f t="shared" si="2"/>
        <v>0</v>
      </c>
      <c r="L50" s="322">
        <f t="shared" si="2"/>
        <v>0</v>
      </c>
      <c r="M50" s="322">
        <f t="shared" si="2"/>
        <v>5.8375121499901965E-4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1.3694832556372202E-2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5.8375121499901965E-4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3804.1201545478343</v>
      </c>
      <c r="H54" s="21">
        <f t="shared" si="3"/>
        <v>0</v>
      </c>
      <c r="I54" s="21">
        <f t="shared" si="3"/>
        <v>0</v>
      </c>
      <c r="J54" s="21">
        <f t="shared" si="3"/>
        <v>0</v>
      </c>
      <c r="K54" s="21">
        <f t="shared" si="3"/>
        <v>0</v>
      </c>
      <c r="L54" s="21">
        <f t="shared" si="3"/>
        <v>0</v>
      </c>
      <c r="M54" s="21">
        <f t="shared" si="3"/>
        <v>162.15311527750546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0.20878602572733587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1015.7000812642718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8734.3290082585845</v>
      </c>
      <c r="C6" s="1124"/>
      <c r="D6" s="1127"/>
      <c r="E6" s="1127"/>
      <c r="F6" s="1130"/>
      <c r="G6" s="1133"/>
      <c r="H6" s="1121"/>
      <c r="I6" s="1127"/>
      <c r="J6" s="1127"/>
      <c r="K6" s="1127"/>
      <c r="L6" s="1157"/>
      <c r="M6" s="559"/>
      <c r="N6" s="1169"/>
      <c r="O6" s="1170"/>
      <c r="Q6" s="557"/>
      <c r="R6" s="1154"/>
      <c r="S6" s="1154"/>
    </row>
    <row r="7" spans="1:19" s="547" customFormat="1">
      <c r="A7" s="560" t="s">
        <v>253</v>
      </c>
      <c r="B7" s="561">
        <f>N57</f>
        <v>45</v>
      </c>
      <c r="C7" s="562">
        <f>B100</f>
        <v>52.941176470588239</v>
      </c>
      <c r="D7" s="563"/>
      <c r="E7" s="563">
        <f>E100</f>
        <v>0</v>
      </c>
      <c r="F7" s="564"/>
      <c r="G7" s="565"/>
      <c r="H7" s="563">
        <f>I100</f>
        <v>0</v>
      </c>
      <c r="I7" s="563">
        <f>G100+F100</f>
        <v>0</v>
      </c>
      <c r="J7" s="563">
        <f>H100+D100+C100</f>
        <v>0</v>
      </c>
      <c r="K7" s="563"/>
      <c r="L7" s="566"/>
      <c r="M7" s="567">
        <f>C7*$C$11+D7*$D$11+E7*$E$11+F7*$F$11+G7*$G$11+H7*$H$11+I7*$I$11+J7*$J$11</f>
        <v>10.694117647058825</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8779.3290082585845</v>
      </c>
      <c r="C9" s="578">
        <f t="shared" ref="C9:L9" si="0">SUM(C7:C8)</f>
        <v>52.941176470588239</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10.694117647058825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64.285714285714292</v>
      </c>
      <c r="C16" s="594">
        <f>B101</f>
        <v>75.630252100840352</v>
      </c>
      <c r="D16" s="595"/>
      <c r="E16" s="595">
        <f>E101</f>
        <v>0</v>
      </c>
      <c r="F16" s="596"/>
      <c r="G16" s="597"/>
      <c r="H16" s="594">
        <f>I101</f>
        <v>0</v>
      </c>
      <c r="I16" s="595">
        <f>G101+F101</f>
        <v>0</v>
      </c>
      <c r="J16" s="595">
        <f>H101+D101+C101</f>
        <v>0</v>
      </c>
      <c r="K16" s="595"/>
      <c r="L16" s="598"/>
      <c r="M16" s="599">
        <f>C16*$C$21+E16*$E$21+H16*$H$21+I16*$I$21+J16*$J$21+D16*$D$21+F16*$F$21+G16*$G$21+K16*$K$21+L16*$L$21</f>
        <v>15.277310924369752</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64.285714285714292</v>
      </c>
      <c r="C19" s="577">
        <f>SUM(C16:C18)</f>
        <v>75.630252100840352</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15.277310924369752</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71004</v>
      </c>
      <c r="C27" s="839">
        <v>3583</v>
      </c>
      <c r="D27" s="656" t="s">
        <v>894</v>
      </c>
      <c r="E27" s="655" t="s">
        <v>895</v>
      </c>
      <c r="F27" s="655" t="s">
        <v>896</v>
      </c>
      <c r="G27" s="655" t="s">
        <v>897</v>
      </c>
      <c r="H27" s="655" t="s">
        <v>898</v>
      </c>
      <c r="I27" s="655" t="s">
        <v>895</v>
      </c>
      <c r="J27" s="838">
        <v>40118</v>
      </c>
      <c r="K27" s="838">
        <v>40148</v>
      </c>
      <c r="L27" s="655" t="s">
        <v>899</v>
      </c>
      <c r="M27" s="655">
        <v>10</v>
      </c>
      <c r="N27" s="655">
        <v>45</v>
      </c>
      <c r="O27" s="655">
        <v>64.285714285714292</v>
      </c>
      <c r="P27" s="655">
        <v>128.57142857142858</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10</v>
      </c>
      <c r="N57" s="613">
        <f>SUM(N27:N56)</f>
        <v>45</v>
      </c>
      <c r="O57" s="613">
        <f t="shared" ref="O57:W57" si="2">SUM(O27:O56)</f>
        <v>64.285714285714292</v>
      </c>
      <c r="P57" s="613">
        <f t="shared" si="2"/>
        <v>128.57142857142858</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10</v>
      </c>
      <c r="N59" s="613">
        <f ca="1">SUMIF($Z$27:AB56,"tertiair",N27:N56)</f>
        <v>45</v>
      </c>
      <c r="O59" s="613">
        <f ca="1">SUMIF($Z$27:AC56,"tertiair",O27:O56)</f>
        <v>64.285714285714292</v>
      </c>
      <c r="P59" s="613">
        <f ca="1">SUMIF($Z$27:AD56,"tertiair",P27:P56)</f>
        <v>128.57142857142858</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52.941176470588239</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75.630252100840352</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2018-06-27T09:02:59Z</dcterms:modified>
</cp:coreProperties>
</file>