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T88"/>
  <c r="S88"/>
  <c r="E8" s="1"/>
  <c r="F68" i="14" s="1"/>
  <c r="R88" i="18"/>
  <c r="Q88"/>
  <c r="P88"/>
  <c r="O8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F17"/>
  <c r="G79" i="14" s="1"/>
  <c r="E17" i="18"/>
  <c r="D17"/>
  <c r="C17"/>
  <c r="B17"/>
  <c r="K11"/>
  <c r="J11"/>
  <c r="I11"/>
  <c r="H11"/>
  <c r="G11"/>
  <c r="F11"/>
  <c r="E11"/>
  <c r="D11"/>
  <c r="C11"/>
  <c r="L8"/>
  <c r="L9" s="1"/>
  <c r="K8"/>
  <c r="K9" s="1"/>
  <c r="I8"/>
  <c r="J68" i="14" s="1"/>
  <c r="G8" i="18"/>
  <c r="G9" s="1"/>
  <c r="F8"/>
  <c r="F9" s="1"/>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C18" i="16" l="1"/>
  <c r="C8" i="48" s="1"/>
  <c r="N16" i="16"/>
  <c r="L68" i="14"/>
  <c r="L69" s="1"/>
  <c r="E8" i="16"/>
  <c r="H68" i="14"/>
  <c r="D8" i="17"/>
  <c r="E22" i="14" s="1"/>
  <c r="C97" i="18"/>
  <c r="I100" s="1"/>
  <c r="H7" s="1"/>
  <c r="I67" i="14" s="1"/>
  <c r="F16" i="16"/>
  <c r="D13" i="15"/>
  <c r="O80" i="14"/>
  <c r="B16" i="18"/>
  <c r="B78" i="14" s="1"/>
  <c r="B81" s="1"/>
  <c r="C13" i="15"/>
  <c r="D12" i="22"/>
  <c r="E17" i="14"/>
  <c r="D13" i="48"/>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28" s="1"/>
  <c r="D14" i="15"/>
  <c r="K19" i="19"/>
  <c r="L35" i="14" s="1"/>
  <c r="I19" i="19"/>
  <c r="J35" i="14" s="1"/>
  <c r="B6" i="48"/>
  <c r="Q6" s="1"/>
  <c r="P18" i="16"/>
  <c r="P22" s="1"/>
  <c r="Q39" i="14" s="1"/>
  <c r="J8" i="17"/>
  <c r="J7" i="48" s="1"/>
  <c r="J24" s="1"/>
  <c r="G19" i="18"/>
  <c r="K19"/>
  <c r="L16" i="16"/>
  <c r="L18" s="1"/>
  <c r="N6" i="17"/>
  <c r="C100" i="18"/>
  <c r="G100"/>
  <c r="F100"/>
  <c r="E31" i="20"/>
  <c r="F43" i="14" s="1"/>
  <c r="H14" i="22"/>
  <c r="F8" i="17"/>
  <c r="G22" i="14" s="1"/>
  <c r="D100" i="18"/>
  <c r="H100"/>
  <c r="B100"/>
  <c r="C7" s="1"/>
  <c r="E9" i="14"/>
  <c r="J9"/>
  <c r="J15" s="1"/>
  <c r="N9"/>
  <c r="N15" s="1"/>
  <c r="I11" i="48"/>
  <c r="M11"/>
  <c r="M28" s="1"/>
  <c r="M19" i="19"/>
  <c r="N35" i="14" s="1"/>
  <c r="J7" i="15"/>
  <c r="O5" i="16"/>
  <c r="B7" i="18"/>
  <c r="B67" i="14" s="1"/>
  <c r="C80"/>
  <c r="C16" i="15"/>
  <c r="D10" i="14" s="1"/>
  <c r="L6" i="17"/>
  <c r="E100" i="18"/>
  <c r="E7" s="1"/>
  <c r="F67" i="14"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M46"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J9"/>
  <c r="B7" i="48"/>
  <c r="C22" i="14"/>
  <c r="C65"/>
  <c r="B65"/>
  <c r="F6" i="15"/>
  <c r="F8"/>
  <c r="N10" i="16"/>
  <c r="E14"/>
  <c r="L41" i="14"/>
  <c r="H15"/>
  <c r="L15"/>
  <c r="H69"/>
  <c r="P20"/>
  <c r="K20"/>
  <c r="G20"/>
  <c r="D5" i="15"/>
  <c r="B8"/>
  <c r="J8"/>
  <c r="F12"/>
  <c r="I20"/>
  <c r="J36" i="14" s="1"/>
  <c r="J41"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H28"/>
  <c r="L28"/>
  <c r="F30"/>
  <c r="J30"/>
  <c r="N30"/>
  <c r="G23"/>
  <c r="K23"/>
  <c r="O23"/>
  <c r="G25"/>
  <c r="F26"/>
  <c r="J26"/>
  <c r="O26"/>
  <c r="F27"/>
  <c r="E28"/>
  <c r="I28"/>
  <c r="D29"/>
  <c r="H29"/>
  <c r="L29"/>
  <c r="P29"/>
  <c r="K30"/>
  <c r="O30"/>
  <c r="C22" i="13"/>
  <c r="C21"/>
  <c r="C20"/>
  <c r="D23" i="48"/>
  <c r="H23"/>
  <c r="L23"/>
  <c r="P23"/>
  <c r="H25"/>
  <c r="P26"/>
  <c r="F28"/>
  <c r="J28"/>
  <c r="N28"/>
  <c r="D30"/>
  <c r="L30"/>
  <c r="P30"/>
  <c r="G22"/>
  <c r="E23"/>
  <c r="I23"/>
  <c r="O24"/>
  <c r="I25"/>
  <c r="P11" i="14"/>
  <c r="O12" i="13"/>
  <c r="P37" i="14" s="1"/>
  <c r="D67"/>
  <c r="E9" i="18"/>
  <c r="F69" i="14"/>
  <c r="C9" i="18"/>
  <c r="H9"/>
  <c r="B10" i="48"/>
  <c r="C18" i="14"/>
  <c r="F7" i="48"/>
  <c r="F24" s="1"/>
  <c r="J12" i="17"/>
  <c r="K48" i="14" s="1"/>
  <c r="P24" i="48"/>
  <c r="E5" i="17"/>
  <c r="C8"/>
  <c r="G24" i="48"/>
  <c r="I24"/>
  <c r="G81" i="14"/>
  <c r="D79"/>
  <c r="H79"/>
  <c r="H81" s="1"/>
  <c r="L79"/>
  <c r="L81" s="1"/>
  <c r="F79"/>
  <c r="J79"/>
  <c r="E68"/>
  <c r="E69" s="1"/>
  <c r="I68"/>
  <c r="I69" s="1"/>
  <c r="M68"/>
  <c r="M69" s="1"/>
  <c r="D19" i="18"/>
  <c r="H19"/>
  <c r="L19"/>
  <c r="B68" i="14"/>
  <c r="G68"/>
  <c r="G69" s="1"/>
  <c r="K68"/>
  <c r="E81"/>
  <c r="I81"/>
  <c r="M81"/>
  <c r="F19" i="18"/>
  <c r="D11" i="14"/>
  <c r="C4" i="48"/>
  <c r="M8" i="18"/>
  <c r="M17"/>
  <c r="M18"/>
  <c r="D13" i="14"/>
  <c r="E19" i="18" l="1"/>
  <c r="K14" i="48"/>
  <c r="B35" i="13"/>
  <c r="B47" s="1"/>
  <c r="N8" i="17"/>
  <c r="N5"/>
  <c r="B19" i="18"/>
  <c r="L5" i="17"/>
  <c r="L8" s="1"/>
  <c r="I16" i="18"/>
  <c r="F81" i="14"/>
  <c r="D16" i="15"/>
  <c r="D5" i="48" s="1"/>
  <c r="D22" s="1"/>
  <c r="D12" i="17"/>
  <c r="E48" i="14" s="1"/>
  <c r="O78"/>
  <c r="D81"/>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69" i="14"/>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F5"/>
  <c r="F16" s="1"/>
  <c r="B5"/>
  <c r="B16" s="1"/>
  <c r="B5" i="16"/>
  <c r="B18" s="1"/>
  <c r="C13" i="14" s="1"/>
  <c r="N5" i="15"/>
  <c r="N16" s="1"/>
  <c r="F12" i="13"/>
  <c r="G37" i="14" s="1"/>
  <c r="P5" i="48"/>
  <c r="P22" s="1"/>
  <c r="P31" s="1"/>
  <c r="F13" i="16"/>
  <c r="E13"/>
  <c r="N13"/>
  <c r="J13"/>
  <c r="N12"/>
  <c r="J12"/>
  <c r="F12"/>
  <c r="E12"/>
  <c r="Q11" i="48"/>
  <c r="O5"/>
  <c r="R9" i="14"/>
  <c r="C19"/>
  <c r="C20" s="1"/>
  <c r="E19"/>
  <c r="E20" s="1"/>
  <c r="O28" i="48"/>
  <c r="H22"/>
  <c r="B46" i="13"/>
  <c r="E5" s="1"/>
  <c r="E8" s="1"/>
  <c r="E12" s="1"/>
  <c r="F37" i="14" s="1"/>
  <c r="K31" i="48"/>
  <c r="L26"/>
  <c r="M29"/>
  <c r="M25"/>
  <c r="M24"/>
  <c r="I31"/>
  <c r="C50" i="13"/>
  <c r="J5" s="1"/>
  <c r="J8" s="1"/>
  <c r="E7" i="48"/>
  <c r="E24" s="1"/>
  <c r="E12" i="17"/>
  <c r="F48" i="14" s="1"/>
  <c r="C5" i="48"/>
  <c r="C14" s="1"/>
  <c r="L7" l="1"/>
  <c r="L24" s="1"/>
  <c r="L12" i="17"/>
  <c r="M48" i="14" s="1"/>
  <c r="M22"/>
  <c r="O22"/>
  <c r="R22" s="1"/>
  <c r="N7" i="48"/>
  <c r="N24" s="1"/>
  <c r="N12" i="17"/>
  <c r="O48" i="14" s="1"/>
  <c r="E10"/>
  <c r="J78"/>
  <c r="I19" i="18"/>
  <c r="M16"/>
  <c r="M19" s="1"/>
  <c r="E13" i="14"/>
  <c r="E15" s="1"/>
  <c r="E23" s="1"/>
  <c r="E20" i="15"/>
  <c r="F36" i="14" s="1"/>
  <c r="E16" i="15"/>
  <c r="K67" i="14"/>
  <c r="K69" s="1"/>
  <c r="J9" i="18"/>
  <c r="J67" i="14"/>
  <c r="I9" i="18"/>
  <c r="M7"/>
  <c r="M9" s="1"/>
  <c r="K10" i="14"/>
  <c r="J16" i="15"/>
  <c r="J5" i="48" s="1"/>
  <c r="J22" s="1"/>
  <c r="O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N19"/>
  <c r="E5" i="48"/>
  <c r="E22" s="1"/>
  <c r="P14"/>
  <c r="F10" i="14"/>
  <c r="B8" i="48"/>
  <c r="J20" i="15"/>
  <c r="K36" i="14"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C78" i="14"/>
  <c r="C81" s="1"/>
  <c r="J8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<sst xmlns="http://schemas.openxmlformats.org/spreadsheetml/2006/main" count="2038" uniqueCount="900">
  <si>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</si>
  <si>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</si>
  <si>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</si>
  <si>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</si>
  <si>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</si>
  <si>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</si>
  <si>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</si>
  <si>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</si>
  <si>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</si>
  <si>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</si>
  <si>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</si>
  <si>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</si>
  <si>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</si>
  <si>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</si>
  <si>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</si>
  <si>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</si>
  <si>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</si>
  <si>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</si>
  <si>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</si>
  <si>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</si>
  <si>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</si>
  <si>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</si>
  <si>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</si>
  <si>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</si>
  <si>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</si>
  <si>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</si>
  <si>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</si>
  <si>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</si>
  <si>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</si>
  <si>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</si>
  <si>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</si>
  <si>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</si>
  <si>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</si>
  <si>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</si>
  <si>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</si>
  <si>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</si>
  <si>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</si>
  <si>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</si>
  <si>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</si>
  <si>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</si>
  <si>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</si>
  <si>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</si>
  <si>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</si>
  <si>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</si>
  <si>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</si>
  <si>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</si>
  <si>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</si>
  <si>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</si>
  <si>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</si>
  <si>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</si>
  <si>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</si>
  <si>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</si>
  <si>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</si>
  <si>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</si>
  <si>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</si>
  <si>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</si>
  <si>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</si>
  <si>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</si>
  <si>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</si>
  <si>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</si>
  <si>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</si>
  <si>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</si>
  <si>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</si>
  <si>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</si>
  <si>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</si>
  <si>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</si>
  <si>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</si>
  <si>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</si>
  <si>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</si>
  <si>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</si>
  <si>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</si>
  <si>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</si>
  <si>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</si>
  <si>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</si>
  <si>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</si>
  <si>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</si>
  <si>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</si>
  <si>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</si>
  <si>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</si>
  <si>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</si>
  <si>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</si>
  <si>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</si>
  <si>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</si>
  <si>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</si>
  <si>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</si>
  <si>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</si>
  <si>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</si>
  <si>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</si>
  <si>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</si>
  <si>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</si>
  <si>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</si>
  <si>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</si>
  <si>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</si>
  <si>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</si>
  <si>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</si>
  <si>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</si>
  <si>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</si>
  <si>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</si>
  <si>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</si>
  <si>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</si>
  <si>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</si>
  <si>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</si>
  <si>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</si>
  <si>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</si>
  <si>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</si>
  <si>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</si>
  <si>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</si>
  <si>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</si>
  <si>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</si>
  <si>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</si>
  <si>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</si>
  <si>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</si>
  <si>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</si>
  <si>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</si>
  <si>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</si>
  <si>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</si>
  <si>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</si>
  <si>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</si>
  <si>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</si>
  <si>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</si>
  <si>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</si>
  <si>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</si>
  <si>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</si>
  <si>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</si>
  <si>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</si>
  <si>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</si>
  <si>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</si>
  <si>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</si>
  <si>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</si>
  <si>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</si>
  <si>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</si>
  <si>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</si>
  <si>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</si>
  <si>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</si>
  <si>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</si>
  <si>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</si>
  <si>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</si>
  <si>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</si>
  <si>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</si>
  <si>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</si>
  <si>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</si>
  <si>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</si>
  <si>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</si>
  <si>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</si>
  <si>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</si>
  <si>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</si>
  <si>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</si>
  <si>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</si>
  <si>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</si>
  <si>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</si>
  <si>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</si>
  <si>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</si>
  <si>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</si>
  <si>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</si>
  <si>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</si>
  <si>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</si>
  <si>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</si>
  <si>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</si>
  <si>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</si>
  <si>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</si>
  <si>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</si>
  <si>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</si>
  <si>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</si>
  <si>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</si>
  <si>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</si>
  <si>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</si>
  <si>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</si>
  <si>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</si>
  <si>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</si>
  <si>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</si>
  <si>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</si>
  <si>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</si>
  <si>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</si>
  <si>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</si>
  <si>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</si>
  <si>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</si>
  <si>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</si>
  <si>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</si>
  <si>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</si>
  <si>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</si>
  <si>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</si>
  <si>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</si>
  <si>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</si>
  <si>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</si>
  <si>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</si>
  <si>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</si>
  <si>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</si>
  <si>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</si>
  <si>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</si>
  <si>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</si>
  <si>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</si>
  <si>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</si>
  <si>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</si>
  <si>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</si>
  <si>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</si>
  <si>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</si>
  <si>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</si>
  <si>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</si>
  <si>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</si>
  <si>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</si>
  <si>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</si>
  <si>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</si>
  <si>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</si>
  <si>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</si>
  <si>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</si>
  <si>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</si>
  <si>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</si>
  <si>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</si>
  <si>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</si>
  <si>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</si>
  <si>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</si>
  <si>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</si>
  <si>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</si>
  <si>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</si>
  <si>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</si>
  <si>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</si>
  <si>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</si>
  <si>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</si>
  <si>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</si>
  <si>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</si>
  <si>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</si>
  <si>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</si>
  <si>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</si>
  <si>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</si>
  <si>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</si>
  <si>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</si>
  <si>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</si>
  <si>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</si>
  <si>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</si>
  <si>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</si>
  <si>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</si>
  <si>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</si>
  <si>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</si>
  <si>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</si>
  <si>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</si>
  <si>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</si>
  <si>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</si>
  <si>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</si>
  <si>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</si>
  <si>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</si>
  <si>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</si>
  <si>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</si>
  <si>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</si>
  <si>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</si>
  <si>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</si>
  <si>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</si>
  <si>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</si>
  <si>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</si>
  <si>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</si>
  <si>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</si>
  <si>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</si>
  <si>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</si>
  <si>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</si>
  <si>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</si>
  <si>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</si>
  <si>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</si>
  <si>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</si>
  <si>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</si>
  <si>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</si>
  <si>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</si>
  <si>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</si>
  <si>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</si>
  <si>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</si>
  <si>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</si>
  <si>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</si>
  <si>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</si>
  <si>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</si>
  <si>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</si>
  <si>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</si>
  <si>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</si>
  <si>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</si>
  <si>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</si>
  <si>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</si>
  <si>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</si>
  <si>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</si>
  <si>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</si>
  <si>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</si>
  <si>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</si>
  <si>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</si>
  <si>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</si>
  <si>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</si>
  <si>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</si>
  <si>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</si>
  <si>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</si>
  <si>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</si>
  <si>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</si>
  <si>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</si>
  <si>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</si>
  <si>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</si>
  <si>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</si>
  <si>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</si>
  <si>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</si>
  <si>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</si>
  <si>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</si>
  <si>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</si>
  <si>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</si>
  <si>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</si>
  <si>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</si>
  <si>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</si>
  <si>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</si>
  <si>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</si>
  <si>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</si>
  <si>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</si>
  <si>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</si>
  <si>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</si>
  <si>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</si>
  <si>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</si>
  <si>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</si>
  <si>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</si>
  <si>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</si>
  <si>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</si>
  <si>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</si>
  <si>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</si>
  <si>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</si>
  <si>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</si>
  <si>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</si>
  <si>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</si>
  <si>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</si>
  <si>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</si>
  <si>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</si>
  <si>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</si>
  <si>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</si>
  <si>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</si>
  <si>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</si>
  <si>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</si>
  <si>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</si>
  <si>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</si>
  <si>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</si>
  <si>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</si>
  <si>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</si>
  <si>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</si>
  <si>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</si>
  <si>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</si>
  <si>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</si>
  <si>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</si>
  <si>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</si>
  <si>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</si>
  <si>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</si>
  <si>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</si>
  <si>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</si>
  <si>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</si>
  <si>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</si>
  <si>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</si>
  <si>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</si>
  <si>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</si>
  <si>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</si>
  <si>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</si>
  <si>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</si>
  <si>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</si>
  <si>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</si>
  <si>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</si>
  <si>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</si>
  <si>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</si>
  <si>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</si>
  <si>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</si>
  <si>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</si>
  <si>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</si>
  <si>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</si>
  <si>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</si>
  <si>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</si>
  <si>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</si>
  <si>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</si>
  <si>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</si>
  <si>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</si>
  <si>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</si>
  <si>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</si>
  <si>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</si>
  <si>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</si>
  <si>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</si>
  <si>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</si>
  <si>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</si>
  <si>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</si>
  <si>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</si>
  <si>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</si>
  <si>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</si>
  <si>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</si>
  <si>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</si>
  <si>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</si>
  <si>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</si>
  <si>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</si>
  <si>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</si>
  <si>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</si>
  <si>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</si>
  <si>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</si>
  <si>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</si>
  <si>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</si>
  <si>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</si>
  <si>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</si>
  <si>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</si>
  <si>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</si>
  <si>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</si>
  <si>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</si>
  <si>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</si>
  <si>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</si>
  <si>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</si>
  <si>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</si>
  <si>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</si>
  <si>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</si>
  <si>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</si>
  <si>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</si>
  <si>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</si>
  <si>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</si>
  <si>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</si>
  <si>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</si>
  <si>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</si>
  <si>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</si>
  <si>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</si>
  <si>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</si>
  <si>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</si>
  <si>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</si>
  <si>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</si>
  <si>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</si>
  <si>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</si>
  <si>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</si>
  <si>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</si>
  <si>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</si>
  <si>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</si>
  <si>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</si>
  <si>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</si>
  <si>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</si>
  <si>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</si>
  <si>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</si>
  <si>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</si>
  <si>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</si>
  <si>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</si>
  <si>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</si>
  <si>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</si>
  <si>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</si>
  <si>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</si>
  <si>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</si>
  <si>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</si>
  <si>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</si>
  <si>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</si>
  <si>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</si>
  <si>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</si>
  <si>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</si>
  <si>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</si>
  <si>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</si>
  <si>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</si>
  <si>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</si>
  <si>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</si>
  <si>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</si>
  <si>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</si>
  <si>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</si>
  <si>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</si>
  <si>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</si>
  <si>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</si>
  <si>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</si>
  <si>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</si>
  <si>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</si>
  <si>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</si>
  <si>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</si>
  <si>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</si>
  <si>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</si>
  <si>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</si>
  <si>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</si>
  <si>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</si>
  <si>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</si>
  <si>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</si>
  <si>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</si>
  <si>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</si>
  <si>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</si>
  <si>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</si>
  <si>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</si>
  <si>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</si>
  <si>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</si>
  <si>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</si>
  <si>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</si>
  <si>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</si>
  <si>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</si>
  <si>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</si>
  <si>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</si>
  <si>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</si>
  <si>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</si>
  <si>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</si>
  <si>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</si>
  <si>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</si>
  <si>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</si>
  <si>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</si>
  <si>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</si>
  <si>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</si>
  <si>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</si>
  <si>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</si>
  <si>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</si>
  <si>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</si>
  <si>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</si>
  <si>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</si>
  <si>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</si>
  <si>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</si>
  <si>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</si>
  <si>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</si>
  <si>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</si>
  <si>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</si>
  <si>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</si>
  <si>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</si>
  <si>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</si>
  <si>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</si>
  <si>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</si>
  <si>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</si>
  <si>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</si>
  <si>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</si>
  <si>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</si>
  <si>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</si>
  <si>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</si>
  <si>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</si>
  <si>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</si>
  <si>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</si>
  <si>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</si>
  <si>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</si>
  <si>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</si>
  <si>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</si>
  <si>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</si>
  <si>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</si>
  <si>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</si>
  <si>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</si>
  <si>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</si>
  <si>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</si>
  <si>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</si>
  <si>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</si>
  <si>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</si>
  <si>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</si>
  <si>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</si>
  <si>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</si>
  <si>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</si>
  <si>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</si>
  <si>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</si>
  <si>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</si>
  <si>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</si>
  <si>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</si>
  <si>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</si>
  <si>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</si>
  <si>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</si>
  <si>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</si>
  <si>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</si>
  <si>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</si>
  <si>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</si>
  <si>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</si>
  <si>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</si>
  <si>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</si>
  <si>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</si>
  <si>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</si>
  <si>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</si>
  <si>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</si>
  <si>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</si>
  <si>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</si>
  <si>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</si>
  <si>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</si>
  <si>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</si>
  <si>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</si>
  <si>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</si>
  <si>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</si>
  <si>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</si>
  <si>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</si>
  <si>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</si>
  <si>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</si>
  <si>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</si>
  <si>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</si>
  <si>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</si>
  <si>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</si>
  <si>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</si>
  <si>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</si>
  <si>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</si>
  <si>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</si>
  <si>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</si>
  <si>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</si>
  <si>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</si>
  <si>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</si>
  <si>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</si>
  <si>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</si>
  <si>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</si>
  <si>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</si>
  <si>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</si>
  <si>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</si>
  <si>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</si>
  <si>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</si>
  <si>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</si>
  <si>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</si>
  <si>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</si>
  <si>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</si>
  <si>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</si>
  <si>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</si>
  <si>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</si>
  <si>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</si>
  <si>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</si>
  <si>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</si>
  <si>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</si>
  <si>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</si>
  <si>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</si>
  <si>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</si>
  <si>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</si>
  <si>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</si>
  <si>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</si>
  <si>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</si>
  <si>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</si>
  <si>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</si>
  <si>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</si>
  <si>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</si>
  <si>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</si>
  <si>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</si>
  <si>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</si>
  <si>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</si>
  <si>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</si>
  <si>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</si>
  <si>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</si>
  <si>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</si>
  <si>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</si>
  <si>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</si>
  <si>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</si>
  <si>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</si>
  <si>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</si>
  <si>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</si>
  <si>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</si>
  <si>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</si>
  <si>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</si>
  <si>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</si>
  <si>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</si>
  <si>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</si>
  <si>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</si>
  <si>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</si>
  <si>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</si>
  <si>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</si>
  <si>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</si>
  <si>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</si>
  <si>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</si>
  <si>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</si>
  <si>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</si>
  <si>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</si>
  <si>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</si>
  <si>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</si>
  <si>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</si>
  <si>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</si>
  <si>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</si>
  <si>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</si>
  <si>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</si>
  <si>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</si>
  <si>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</si>
  <si>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</si>
  <si>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</si>
  <si>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</si>
  <si>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</si>
  <si>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</si>
  <si>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</si>
  <si>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</si>
  <si>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</si>
  <si>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</si>
  <si>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</si>
  <si>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</si>
  <si>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</si>
  <si>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</si>
  <si>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</si>
  <si>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</si>
  <si>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</si>
  <si>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</si>
  <si>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</si>
  <si>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</si>
  <si>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</si>
  <si>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</si>
  <si>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</si>
  <si>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</si>
  <si>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</si>
  <si>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</si>
  <si>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</si>
  <si>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</si>
  <si>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</si>
  <si>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</si>
  <si>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</si>
  <si>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</si>
  <si>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</si>
  <si>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</si>
  <si>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</si>
  <si>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</si>
  <si>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</si>
  <si>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</si>
  <si>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</si>
  <si>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</si>
  <si>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</si>
  <si>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</si>
  <si>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</si>
  <si>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</si>
  <si>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</si>
  <si>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</si>
  <si>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</si>
  <si>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</si>
  <si>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</si>
  <si>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</si>
  <si>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</si>
  <si>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</si>
  <si>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</si>
  <si>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</si>
  <si>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</si>
  <si>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</si>
  <si>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</si>
  <si>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</si>
  <si>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</si>
  <si>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</si>
  <si>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</si>
  <si>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</si>
  <si>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</si>
  <si>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</si>
  <si>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</si>
  <si>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</si>
  <si>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</si>
  <si>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</si>
  <si>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</si>
  <si>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</si>
  <si>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</si>
  <si>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</si>
  <si>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</si>
  <si>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</si>
  <si>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</si>
  <si>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</si>
  <si>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</si>
  <si>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</si>
  <si>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</si>
  <si>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</si>
  <si>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</si>
  <si>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</si>
  <si>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</si>
  <si>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</si>
  <si>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</si>
  <si>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</si>
  <si>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</si>
  <si>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</si>
  <si>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</si>
  <si>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</si>
  <si>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</si>
  <si>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</si>
  <si>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</si>
  <si>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</si>
  <si>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</si>
  <si>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</si>
  <si>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</si>
  <si>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</si>
  <si>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</si>
  <si>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</si>
  <si>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</si>
  <si>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</si>
  <si>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</si>
  <si>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</si>
  <si>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</si>
  <si>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</si>
  <si>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</si>
  <si>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</si>
  <si>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</si>
  <si>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</si>
  <si>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</si>
  <si>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</si>
  <si>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</si>
  <si>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</si>
  <si>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</si>
  <si>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</si>
  <si>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</si>
  <si>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</si>
  <si>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</si>
  <si>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</si>
  <si>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</si>
  <si>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</si>
  <si>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</si>
  <si>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</si>
  <si>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</si>
  <si>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</si>
  <si>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</si>
  <si>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</si>
  <si>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</si>
  <si>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</si>
  <si>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</si>
  <si>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</si>
  <si>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</si>
  <si>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</si>
  <si>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</si>
  <si>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</si>
  <si>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</si>
  <si>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</si>
  <si>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</si>
  <si>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</si>
  <si>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</si>
  <si>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</si>
  <si>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</si>
  <si>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</si>
  <si>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</si>
  <si>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</si>
  <si>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</si>
  <si>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</si>
  <si>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</si>
  <si>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</si>
  <si>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</si>
  <si>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</si>
  <si>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</si>
  <si>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</si>
  <si>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</si>
  <si>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</si>
  <si>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</si>
  <si>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</si>
  <si>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</si>
  <si>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</si>
  <si>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</si>
  <si>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</si>
  <si>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</si>
  <si>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</si>
  <si>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</si>
  <si>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</si>
  <si>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</si>
  <si>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</si>
  <si>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</si>
  <si>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</si>
  <si>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</si>
  <si>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</si>
  <si>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</si>
  <si>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</si>
  <si>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</si>
  <si>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</si>
  <si>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</si>
  <si>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</si>
  <si>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</si>
  <si>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</si>
  <si>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</si>
  <si>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</si>
  <si>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</si>
  <si>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</si>
  <si>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</si>
  <si>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</si>
  <si>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</si>
  <si>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</si>
  <si>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</si>
  <si>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</si>
  <si>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</si>
  <si>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</si>
  <si>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</si>
  <si>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</si>
  <si>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</si>
  <si>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</si>
  <si>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</si>
  <si>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</si>
  <si>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</si>
  <si>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</si>
  <si>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</si>
  <si>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</si>
  <si>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</si>
  <si>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</si>
  <si>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</si>
  <si>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</si>
  <si>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</si>
  <si>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</si>
  <si>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</si>
  <si>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</si>
  <si>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</si>
  <si>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</si>
  <si>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</si>
  <si>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</si>
  <si>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</si>
  <si>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</si>
  <si>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</si>
  <si>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</si>
  <si>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</si>
  <si>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</si>
  <si>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</si>
  <si>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</si>
  <si>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</si>
  <si>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</si>
  <si>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</si>
  <si>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</si>
  <si>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</si>
  <si>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</si>
  <si>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</si>
  <si>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</si>
  <si>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</si>
  <si>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</si>
  <si>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</si>
  <si>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</si>
  <si>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</si>
  <si>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</si>
  <si>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</si>
  <si>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</si>
  <si>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</si>
  <si>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</si>
  <si>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</si>
  <si>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</si>
  <si>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</si>
  <si>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</si>
  <si>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</si>
  <si>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</si>
  <si>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</si>
  <si>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</si>
  <si>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</si>
  <si>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</si>
  <si>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46013</t>
  </si>
  <si>
    <t>KRUIBEKE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</si>
  <si>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</si>
  <si>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</si>
  <si>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</si>
  <si>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</si>
  <si>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</si>
  <si>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</si>
  <si>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</si>
  <si>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Slamotra</t>
  </si>
  <si>
    <t>Hondenstraat 12 , 9150 Kruibeke</t>
  </si>
  <si>
    <t>WKK-0222 Slamotra</t>
  </si>
  <si>
    <t>interne verbrandingsmotor</t>
  </si>
  <si>
    <t>WKK interne verbrandinsgmotor (vloeibaar)</t>
  </si>
  <si>
    <t>eilandwerking</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</si>
</sst>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46013</v>
      </c>
      <c r="B6" s="396"/>
      <c r="C6" s="397"/>
    </row>
    <row r="7" spans="1:7" s="394" customFormat="1" ht="15.75" customHeight="1">
      <c r="A7" s="398" t="str">
        <f>txtMunicipality</f>
        <v>KRUIBEKE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46013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6497</v>
      </c>
      <c r="C9" s="336">
        <v>6925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1748</v>
      </c>
    </row>
    <row r="15" spans="1:6">
      <c r="A15" s="1194" t="s">
        <v>185</v>
      </c>
      <c r="B15" s="333">
        <v>31</v>
      </c>
    </row>
    <row r="16" spans="1:6">
      <c r="A16" s="1194" t="s">
        <v>6</v>
      </c>
      <c r="B16" s="333">
        <v>958</v>
      </c>
    </row>
    <row r="17" spans="1:6">
      <c r="A17" s="1194" t="s">
        <v>7</v>
      </c>
      <c r="B17" s="333">
        <v>586</v>
      </c>
    </row>
    <row r="18" spans="1:6">
      <c r="A18" s="1194" t="s">
        <v>8</v>
      </c>
      <c r="B18" s="333">
        <v>920</v>
      </c>
    </row>
    <row r="19" spans="1:6">
      <c r="A19" s="1194" t="s">
        <v>9</v>
      </c>
      <c r="B19" s="333">
        <v>797</v>
      </c>
    </row>
    <row r="20" spans="1:6">
      <c r="A20" s="1194" t="s">
        <v>10</v>
      </c>
      <c r="B20" s="333">
        <v>554</v>
      </c>
    </row>
    <row r="21" spans="1:6">
      <c r="A21" s="1194" t="s">
        <v>11</v>
      </c>
      <c r="B21" s="333">
        <v>6691</v>
      </c>
    </row>
    <row r="22" spans="1:6">
      <c r="A22" s="1194" t="s">
        <v>12</v>
      </c>
      <c r="B22" s="333">
        <v>22907</v>
      </c>
    </row>
    <row r="23" spans="1:6">
      <c r="A23" s="1194" t="s">
        <v>13</v>
      </c>
      <c r="B23" s="333">
        <v>376</v>
      </c>
    </row>
    <row r="24" spans="1:6">
      <c r="A24" s="1194" t="s">
        <v>14</v>
      </c>
      <c r="B24" s="333">
        <v>37</v>
      </c>
    </row>
    <row r="25" spans="1:6">
      <c r="A25" s="1194" t="s">
        <v>15</v>
      </c>
      <c r="B25" s="333">
        <v>1933</v>
      </c>
    </row>
    <row r="26" spans="1:6">
      <c r="A26" s="1194" t="s">
        <v>16</v>
      </c>
      <c r="B26" s="333">
        <v>142</v>
      </c>
    </row>
    <row r="27" spans="1:6">
      <c r="A27" s="1194" t="s">
        <v>17</v>
      </c>
      <c r="B27" s="333">
        <v>2</v>
      </c>
    </row>
    <row r="28" spans="1:6">
      <c r="A28" s="1194" t="s">
        <v>18</v>
      </c>
      <c r="B28" s="333">
        <v>3159</v>
      </c>
    </row>
    <row r="29" spans="1:6">
      <c r="A29" s="1194" t="s">
        <v>888</v>
      </c>
      <c r="B29" s="333">
        <v>47</v>
      </c>
    </row>
    <row r="30" spans="1:6">
      <c r="A30" s="1190" t="s">
        <v>889</v>
      </c>
      <c r="B30" s="1190">
        <v>10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4</v>
      </c>
      <c r="F38" s="333">
        <v>10507.2224688321</v>
      </c>
    </row>
    <row r="39" spans="1:6">
      <c r="A39" s="1194" t="s">
        <v>30</v>
      </c>
      <c r="B39" s="1194" t="s">
        <v>31</v>
      </c>
      <c r="C39" s="333">
        <v>5078</v>
      </c>
      <c r="D39" s="333">
        <v>83652758.188254699</v>
      </c>
      <c r="E39" s="333">
        <v>6441</v>
      </c>
      <c r="F39" s="333">
        <v>30236872.490319598</v>
      </c>
    </row>
    <row r="40" spans="1:6">
      <c r="A40" s="1194" t="s">
        <v>30</v>
      </c>
      <c r="B40" s="1194" t="s">
        <v>29</v>
      </c>
      <c r="C40" s="333">
        <v>0</v>
      </c>
      <c r="D40" s="333">
        <v>0</v>
      </c>
      <c r="E40" s="333">
        <v>0</v>
      </c>
      <c r="F40" s="333">
        <v>0</v>
      </c>
    </row>
    <row r="41" spans="1:6">
      <c r="A41" s="1194" t="s">
        <v>32</v>
      </c>
      <c r="B41" s="1194" t="s">
        <v>33</v>
      </c>
      <c r="C41" s="333">
        <v>37</v>
      </c>
      <c r="D41" s="333">
        <v>1232254.1263419299</v>
      </c>
      <c r="E41" s="333">
        <v>86</v>
      </c>
      <c r="F41" s="333">
        <v>1285700.60389047</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6</v>
      </c>
      <c r="F44" s="333">
        <v>518947.61762610701</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3</v>
      </c>
      <c r="F47" s="333">
        <v>18240.536152587702</v>
      </c>
    </row>
    <row r="48" spans="1:6">
      <c r="A48" s="1194" t="s">
        <v>32</v>
      </c>
      <c r="B48" s="1194" t="s">
        <v>29</v>
      </c>
      <c r="C48" s="333">
        <v>29</v>
      </c>
      <c r="D48" s="333">
        <v>3949665.1080643702</v>
      </c>
      <c r="E48" s="333">
        <v>37</v>
      </c>
      <c r="F48" s="333">
        <v>1925764.1538861699</v>
      </c>
    </row>
    <row r="49" spans="1:6">
      <c r="A49" s="1194" t="s">
        <v>32</v>
      </c>
      <c r="B49" s="1194" t="s">
        <v>40</v>
      </c>
      <c r="C49" s="333">
        <v>0</v>
      </c>
      <c r="D49" s="333">
        <v>0</v>
      </c>
      <c r="E49" s="333">
        <v>0</v>
      </c>
      <c r="F49" s="333">
        <v>0</v>
      </c>
    </row>
    <row r="50" spans="1:6">
      <c r="A50" s="1194" t="s">
        <v>32</v>
      </c>
      <c r="B50" s="1194" t="s">
        <v>41</v>
      </c>
      <c r="C50" s="333">
        <v>9</v>
      </c>
      <c r="D50" s="333">
        <v>4783568.3708061203</v>
      </c>
      <c r="E50" s="333">
        <v>13</v>
      </c>
      <c r="F50" s="333">
        <v>6612710.9090946298</v>
      </c>
    </row>
    <row r="51" spans="1:6">
      <c r="A51" s="1194" t="s">
        <v>42</v>
      </c>
      <c r="B51" s="1194" t="s">
        <v>43</v>
      </c>
      <c r="C51" s="333">
        <v>11</v>
      </c>
      <c r="D51" s="333">
        <v>197205.83156902701</v>
      </c>
      <c r="E51" s="333">
        <v>81</v>
      </c>
      <c r="F51" s="333">
        <v>2014448.53829218</v>
      </c>
    </row>
    <row r="52" spans="1:6">
      <c r="A52" s="1194" t="s">
        <v>42</v>
      </c>
      <c r="B52" s="1194" t="s">
        <v>29</v>
      </c>
      <c r="C52" s="333">
        <v>3</v>
      </c>
      <c r="D52" s="333">
        <v>81901.247659141605</v>
      </c>
      <c r="E52" s="333">
        <v>6</v>
      </c>
      <c r="F52" s="333">
        <v>164900.39321848901</v>
      </c>
    </row>
    <row r="53" spans="1:6">
      <c r="A53" s="1194" t="s">
        <v>44</v>
      </c>
      <c r="B53" s="1194" t="s">
        <v>45</v>
      </c>
      <c r="C53" s="333">
        <v>168</v>
      </c>
      <c r="D53" s="333">
        <v>2821224.6375808702</v>
      </c>
      <c r="E53" s="333">
        <v>251</v>
      </c>
      <c r="F53" s="333">
        <v>1464362.6644248499</v>
      </c>
    </row>
    <row r="54" spans="1:6">
      <c r="A54" s="1194" t="s">
        <v>46</v>
      </c>
      <c r="B54" s="1194" t="s">
        <v>47</v>
      </c>
      <c r="C54" s="333">
        <v>0</v>
      </c>
      <c r="D54" s="333">
        <v>0</v>
      </c>
      <c r="E54" s="333">
        <v>1</v>
      </c>
      <c r="F54" s="333">
        <v>1121535</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24</v>
      </c>
      <c r="D57" s="333">
        <v>593903.86452860001</v>
      </c>
      <c r="E57" s="333">
        <v>43</v>
      </c>
      <c r="F57" s="333">
        <v>558518.06903447898</v>
      </c>
    </row>
    <row r="58" spans="1:6">
      <c r="A58" s="1194" t="s">
        <v>49</v>
      </c>
      <c r="B58" s="1194" t="s">
        <v>51</v>
      </c>
      <c r="C58" s="333">
        <v>4</v>
      </c>
      <c r="D58" s="333">
        <v>83497.970741483499</v>
      </c>
      <c r="E58" s="333">
        <v>6</v>
      </c>
      <c r="F58" s="333">
        <v>106833.72263973299</v>
      </c>
    </row>
    <row r="59" spans="1:6">
      <c r="A59" s="1194" t="s">
        <v>49</v>
      </c>
      <c r="B59" s="1194" t="s">
        <v>52</v>
      </c>
      <c r="C59" s="333">
        <v>67</v>
      </c>
      <c r="D59" s="333">
        <v>2831203.4352856399</v>
      </c>
      <c r="E59" s="333">
        <v>149</v>
      </c>
      <c r="F59" s="333">
        <v>6308870.30125992</v>
      </c>
    </row>
    <row r="60" spans="1:6">
      <c r="A60" s="1194" t="s">
        <v>49</v>
      </c>
      <c r="B60" s="1194" t="s">
        <v>53</v>
      </c>
      <c r="C60" s="333">
        <v>36</v>
      </c>
      <c r="D60" s="333">
        <v>2111638.9573764298</v>
      </c>
      <c r="E60" s="333">
        <v>43</v>
      </c>
      <c r="F60" s="333">
        <v>1471632.8738635399</v>
      </c>
    </row>
    <row r="61" spans="1:6">
      <c r="A61" s="1194" t="s">
        <v>49</v>
      </c>
      <c r="B61" s="1194" t="s">
        <v>54</v>
      </c>
      <c r="C61" s="333">
        <v>108</v>
      </c>
      <c r="D61" s="333">
        <v>6795325.4708571797</v>
      </c>
      <c r="E61" s="333">
        <v>285</v>
      </c>
      <c r="F61" s="333">
        <v>3871777.0628820802</v>
      </c>
    </row>
    <row r="62" spans="1:6">
      <c r="A62" s="1194" t="s">
        <v>49</v>
      </c>
      <c r="B62" s="1194" t="s">
        <v>55</v>
      </c>
      <c r="C62" s="333">
        <v>5</v>
      </c>
      <c r="D62" s="333">
        <v>1667030.5736392201</v>
      </c>
      <c r="E62" s="333">
        <v>13</v>
      </c>
      <c r="F62" s="333">
        <v>368679.09588015999</v>
      </c>
    </row>
    <row r="63" spans="1:6">
      <c r="A63" s="1194" t="s">
        <v>49</v>
      </c>
      <c r="B63" s="1194" t="s">
        <v>29</v>
      </c>
      <c r="C63" s="333">
        <v>77</v>
      </c>
      <c r="D63" s="333">
        <v>3678754.1096349098</v>
      </c>
      <c r="E63" s="333">
        <v>87</v>
      </c>
      <c r="F63" s="333">
        <v>1571453.22125961</v>
      </c>
    </row>
    <row r="64" spans="1:6">
      <c r="A64" s="1194" t="s">
        <v>56</v>
      </c>
      <c r="B64" s="1194" t="s">
        <v>57</v>
      </c>
      <c r="C64" s="333">
        <v>0</v>
      </c>
      <c r="D64" s="333">
        <v>0</v>
      </c>
      <c r="E64" s="333">
        <v>0</v>
      </c>
      <c r="F64" s="333">
        <v>0</v>
      </c>
    </row>
    <row r="65" spans="1:6">
      <c r="A65" s="1194" t="s">
        <v>56</v>
      </c>
      <c r="B65" s="1194" t="s">
        <v>29</v>
      </c>
      <c r="C65" s="333">
        <v>2</v>
      </c>
      <c r="D65" s="333">
        <v>65600.962791870799</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6</v>
      </c>
      <c r="F68" s="333">
        <v>123922.839510352</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29656844</v>
      </c>
      <c r="E73" s="333">
        <v>27935499.542987224</v>
      </c>
      <c r="F73" s="333">
        <v>30767868</v>
      </c>
    </row>
    <row r="74" spans="1:6">
      <c r="A74" s="1194" t="s">
        <v>64</v>
      </c>
      <c r="B74" s="1194" t="s">
        <v>775</v>
      </c>
      <c r="C74" s="1205" t="s">
        <v>776</v>
      </c>
      <c r="D74" s="333">
        <v>3157501.9924441176</v>
      </c>
      <c r="E74" s="333">
        <v>3147654.7360984501</v>
      </c>
      <c r="F74" s="333">
        <v>3222382.9509143643</v>
      </c>
    </row>
    <row r="75" spans="1:6">
      <c r="A75" s="1194" t="s">
        <v>65</v>
      </c>
      <c r="B75" s="1194" t="s">
        <v>773</v>
      </c>
      <c r="C75" s="1205" t="s">
        <v>777</v>
      </c>
      <c r="D75" s="333">
        <v>14335155</v>
      </c>
      <c r="E75" s="333">
        <v>16400935.886866452</v>
      </c>
      <c r="F75" s="333">
        <v>14470947</v>
      </c>
    </row>
    <row r="76" spans="1:6">
      <c r="A76" s="1194" t="s">
        <v>65</v>
      </c>
      <c r="B76" s="1194" t="s">
        <v>775</v>
      </c>
      <c r="C76" s="1205" t="s">
        <v>778</v>
      </c>
      <c r="D76" s="333">
        <v>1245273.9924441176</v>
      </c>
      <c r="E76" s="333">
        <v>1389364.7018404072</v>
      </c>
      <c r="F76" s="333">
        <v>1240059.9509143641</v>
      </c>
    </row>
    <row r="77" spans="1:6">
      <c r="A77" s="1194" t="s">
        <v>66</v>
      </c>
      <c r="B77" s="1194" t="s">
        <v>773</v>
      </c>
      <c r="C77" s="1205" t="s">
        <v>779</v>
      </c>
      <c r="D77" s="333">
        <v>84092858</v>
      </c>
      <c r="E77" s="333">
        <v>87713931.956496045</v>
      </c>
      <c r="F77" s="333">
        <v>84784793</v>
      </c>
    </row>
    <row r="78" spans="1:6">
      <c r="A78" s="1190" t="s">
        <v>66</v>
      </c>
      <c r="B78" s="1190" t="s">
        <v>775</v>
      </c>
      <c r="C78" s="1190" t="s">
        <v>780</v>
      </c>
      <c r="D78" s="1190">
        <v>21097852</v>
      </c>
      <c r="E78" s="1190">
        <v>22392271.446752328</v>
      </c>
      <c r="F78" s="336">
        <v>21715231</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429122.01511176466</v>
      </c>
      <c r="C83" s="333">
        <v>392057.77863058838</v>
      </c>
      <c r="D83" s="333">
        <v>386410.09817127185</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9911.2119547937691</v>
      </c>
    </row>
    <row r="91" spans="1:6">
      <c r="A91" s="1194" t="s">
        <v>68</v>
      </c>
      <c r="B91" s="333">
        <v>1591.0899388837938</v>
      </c>
    </row>
    <row r="92" spans="1:6">
      <c r="A92" s="1190" t="s">
        <v>69</v>
      </c>
      <c r="B92" s="336">
        <v>657.38313377938528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3655</v>
      </c>
    </row>
    <row r="98" spans="1:6">
      <c r="A98" s="1194" t="s">
        <v>72</v>
      </c>
      <c r="B98" s="333">
        <v>0</v>
      </c>
    </row>
    <row r="99" spans="1:6">
      <c r="A99" s="1194" t="s">
        <v>73</v>
      </c>
      <c r="B99" s="333">
        <v>30</v>
      </c>
    </row>
    <row r="100" spans="1:6">
      <c r="A100" s="1194" t="s">
        <v>74</v>
      </c>
      <c r="B100" s="333">
        <v>641</v>
      </c>
    </row>
    <row r="101" spans="1:6">
      <c r="A101" s="1194" t="s">
        <v>75</v>
      </c>
      <c r="B101" s="333">
        <v>139</v>
      </c>
    </row>
    <row r="102" spans="1:6">
      <c r="A102" s="1194" t="s">
        <v>76</v>
      </c>
      <c r="B102" s="333">
        <v>145</v>
      </c>
    </row>
    <row r="103" spans="1:6">
      <c r="A103" s="1194" t="s">
        <v>77</v>
      </c>
      <c r="B103" s="333">
        <v>202</v>
      </c>
    </row>
    <row r="104" spans="1:6">
      <c r="A104" s="1194" t="s">
        <v>78</v>
      </c>
      <c r="B104" s="333">
        <v>883</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25</v>
      </c>
    </row>
    <row r="124" spans="1:6">
      <c r="A124" s="1190" t="s">
        <v>89</v>
      </c>
      <c r="B124" s="333">
        <v>0</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87</v>
      </c>
    </row>
    <row r="130" spans="1:6">
      <c r="A130" s="1194" t="s">
        <v>296</v>
      </c>
      <c r="B130" s="333">
        <v>1</v>
      </c>
    </row>
    <row r="131" spans="1:6">
      <c r="A131" s="1194" t="s">
        <v>297</v>
      </c>
      <c r="B131" s="333">
        <v>0</v>
      </c>
    </row>
    <row r="132" spans="1:6">
      <c r="A132" s="1190" t="s">
        <v>298</v>
      </c>
      <c r="B132" s="336">
        <v>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59748.997161308813</v>
      </c>
      <c r="C3" s="43" t="s">
        <v>171</v>
      </c>
      <c r="D3" s="43"/>
      <c r="E3" s="156"/>
      <c r="F3" s="43"/>
      <c r="G3" s="43"/>
      <c r="H3" s="43"/>
      <c r="I3" s="43"/>
      <c r="J3" s="43"/>
      <c r="K3" s="96"/>
    </row>
    <row r="4" spans="1:11">
      <c r="A4" s="364" t="s">
        <v>172</v>
      </c>
      <c r="B4" s="49">
        <f>IF(ISERROR('SEAP template'!B69),0,'SEAP template'!B69)</f>
        <v>14535.685027456948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186.58588235294121</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0.17035813733331684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209.90911764705882</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2673</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7.8529411764705875E-2</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1121.5350000000001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1121.5350000000001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0.17035813733331684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191.06261355412153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30236.872490319598</v>
      </c>
      <c r="C5" s="17">
        <f>IF(ISERROR('Eigen informatie GS &amp; warmtenet'!B57),0,'Eigen informatie GS &amp; warmtenet'!B57)</f>
        <v>0</v>
      </c>
      <c r="D5" s="30">
        <f>(SUM(HH_hh_gas_kWh,HH_rest_gas_kWh)/1000)*0.902</f>
        <v>75454.787885805737</v>
      </c>
      <c r="E5" s="17">
        <f>B46*B57</f>
        <v>1030.9981467134003</v>
      </c>
      <c r="F5" s="17">
        <f>B51*B62</f>
        <v>0</v>
      </c>
      <c r="G5" s="18"/>
      <c r="H5" s="17"/>
      <c r="I5" s="17"/>
      <c r="J5" s="17">
        <f>B50*B61+C50*C61</f>
        <v>1712.5570869450062</v>
      </c>
      <c r="K5" s="17"/>
      <c r="L5" s="17"/>
      <c r="M5" s="17"/>
      <c r="N5" s="17">
        <f>B48*B59+C48*C59</f>
        <v>13821.377568315407</v>
      </c>
      <c r="O5" s="17">
        <f>B69*B70*B71</f>
        <v>176.65666666666667</v>
      </c>
      <c r="P5" s="17">
        <f>B77*B78*B79/1000-B77*B78*B79/1000/B80</f>
        <v>114.4</v>
      </c>
    </row>
    <row r="6" spans="1:16">
      <c r="A6" s="16" t="s">
        <v>633</v>
      </c>
      <c r="B6" s="830">
        <f>kWh_PV_kleiner_dan_10kW</f>
        <v>1591.0899388837938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31827.962429203391</v>
      </c>
      <c r="C8" s="21">
        <f>C5</f>
        <v>0</v>
      </c>
      <c r="D8" s="21">
        <f>D5</f>
        <v>75454.787885805737</v>
      </c>
      <c r="E8" s="21">
        <f>E5</f>
        <v>1030.9981467134003</v>
      </c>
      <c r="F8" s="21">
        <f>F5</f>
        <v>0</v>
      </c>
      <c r="G8" s="21"/>
      <c r="H8" s="21"/>
      <c r="I8" s="21"/>
      <c r="J8" s="21">
        <f>J5</f>
        <v>1712.5570869450062</v>
      </c>
      <c r="K8" s="21"/>
      <c r="L8" s="21">
        <f>L5</f>
        <v>0</v>
      </c>
      <c r="M8" s="21">
        <f>M5</f>
        <v>0</v>
      </c>
      <c r="N8" s="21">
        <f>N5</f>
        <v>13821.377568315407</v>
      </c>
      <c r="O8" s="21">
        <f>O5</f>
        <v>176.65666666666667</v>
      </c>
      <c r="P8" s="21">
        <f>P5</f>
        <v>114.4</v>
      </c>
    </row>
    <row r="9" spans="1:16">
      <c r="B9" s="19"/>
      <c r="C9" s="19"/>
      <c r="D9" s="260"/>
      <c r="E9" s="19"/>
      <c r="F9" s="19"/>
      <c r="G9" s="19"/>
      <c r="H9" s="19"/>
      <c r="I9" s="19"/>
      <c r="J9" s="19"/>
      <c r="K9" s="19"/>
      <c r="L9" s="19"/>
      <c r="M9" s="19"/>
      <c r="N9" s="19"/>
      <c r="O9" s="19"/>
      <c r="P9" s="19"/>
    </row>
    <row r="10" spans="1:16">
      <c r="A10" s="24" t="s">
        <v>215</v>
      </c>
      <c r="B10" s="25">
        <f ca="1">'EF ele_warmte'!B12</f>
        <v>0.17035813733331684</v>
      </c>
      <c r="C10" s="25">
        <f ca="1">'EF ele_warmte'!B22</f>
        <v>7.8529411764705875E-2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5422.1523945538802</v>
      </c>
      <c r="C12" s="23">
        <f ca="1">C10*C8</f>
        <v>0</v>
      </c>
      <c r="D12" s="23">
        <f>D8*D10</f>
        <v>15241.86715293276</v>
      </c>
      <c r="E12" s="23">
        <f>E10*E8</f>
        <v>234.03657930394186</v>
      </c>
      <c r="F12" s="23">
        <f>F10*F8</f>
        <v>0</v>
      </c>
      <c r="G12" s="23"/>
      <c r="H12" s="23"/>
      <c r="I12" s="23"/>
      <c r="J12" s="23">
        <f>J10*J8</f>
        <v>606.24520877853217</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3655</v>
      </c>
      <c r="C18" s="167" t="s">
        <v>111</v>
      </c>
      <c r="D18" s="229"/>
      <c r="E18" s="15"/>
    </row>
    <row r="19" spans="1:7">
      <c r="A19" s="172" t="s">
        <v>72</v>
      </c>
      <c r="B19" s="37">
        <f>aantalw2001_ander</f>
        <v>0</v>
      </c>
      <c r="C19" s="167" t="s">
        <v>111</v>
      </c>
      <c r="D19" s="230"/>
      <c r="E19" s="15"/>
    </row>
    <row r="20" spans="1:7">
      <c r="A20" s="172" t="s">
        <v>73</v>
      </c>
      <c r="B20" s="37">
        <f>aantalw2001_propaan</f>
        <v>30</v>
      </c>
      <c r="C20" s="168">
        <f>IF(ISERROR(B20/SUM($B$20,$B$21,$B$22)*100),0,B20/SUM($B$20,$B$21,$B$22)*100)</f>
        <v>3.7037037037037033</v>
      </c>
      <c r="D20" s="230"/>
      <c r="E20" s="15"/>
    </row>
    <row r="21" spans="1:7">
      <c r="A21" s="172" t="s">
        <v>74</v>
      </c>
      <c r="B21" s="37">
        <f>aantalw2001_elektriciteit</f>
        <v>641</v>
      </c>
      <c r="C21" s="168">
        <f>IF(ISERROR(B21/SUM($B$20,$B$21,$B$22)*100),0,B21/SUM($B$20,$B$21,$B$22)*100)</f>
        <v>79.135802469135811</v>
      </c>
      <c r="D21" s="230"/>
      <c r="E21" s="15"/>
    </row>
    <row r="22" spans="1:7">
      <c r="A22" s="172" t="s">
        <v>75</v>
      </c>
      <c r="B22" s="37">
        <f>aantalw2001_hout</f>
        <v>139</v>
      </c>
      <c r="C22" s="168">
        <f>IF(ISERROR(B22/SUM($B$20,$B$21,$B$22)*100),0,B22/SUM($B$20,$B$21,$B$22)*100)</f>
        <v>17.160493827160494</v>
      </c>
      <c r="D22" s="230"/>
      <c r="E22" s="15"/>
    </row>
    <row r="23" spans="1:7">
      <c r="A23" s="172" t="s">
        <v>76</v>
      </c>
      <c r="B23" s="37">
        <f>aantalw2001_niet_gespec</f>
        <v>145</v>
      </c>
      <c r="C23" s="167" t="s">
        <v>111</v>
      </c>
      <c r="D23" s="229"/>
      <c r="E23" s="15"/>
    </row>
    <row r="24" spans="1:7">
      <c r="A24" s="172" t="s">
        <v>77</v>
      </c>
      <c r="B24" s="37">
        <f>aantalw2001_steenkool</f>
        <v>202</v>
      </c>
      <c r="C24" s="167" t="s">
        <v>111</v>
      </c>
      <c r="D24" s="230"/>
      <c r="E24" s="15"/>
    </row>
    <row r="25" spans="1:7">
      <c r="A25" s="172" t="s">
        <v>78</v>
      </c>
      <c r="B25" s="37">
        <f>aantalw2001_stookolie</f>
        <v>883</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6497</v>
      </c>
      <c r="C28" s="36"/>
      <c r="D28" s="229"/>
    </row>
    <row r="29" spans="1:7" s="15" customFormat="1">
      <c r="A29" s="231" t="s">
        <v>714</v>
      </c>
      <c r="B29" s="37">
        <f>SUM(HH_hh_gas_aantal,HH_rest_gas_aantal)</f>
        <v>5078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5078</v>
      </c>
      <c r="C32" s="168">
        <f>IF(ISERROR(B32/SUM($B$32,$B$34,$B$35,$B$36,$B$38,$B$39)*100),0,B32/SUM($B$32,$B$34,$B$35,$B$36,$B$38,$B$39)*100)</f>
        <v>78.231397319365271</v>
      </c>
      <c r="D32" s="234"/>
      <c r="G32" s="15"/>
    </row>
    <row r="33" spans="1:7">
      <c r="A33" s="172" t="s">
        <v>72</v>
      </c>
      <c r="B33" s="34" t="s">
        <v>111</v>
      </c>
      <c r="C33" s="168"/>
      <c r="D33" s="234"/>
      <c r="G33" s="15"/>
    </row>
    <row r="34" spans="1:7">
      <c r="A34" s="172" t="s">
        <v>73</v>
      </c>
      <c r="B34" s="33">
        <f>IF((($B$28-$B$32-$B$39-$B$77-$B$38)*C20/100)&lt;0,0,($B$28-$B$32-$B$39-$B$77-$B$38)*C20/100)</f>
        <v>50.12222222222222</v>
      </c>
      <c r="C34" s="168">
        <f>IF(ISERROR(B34/SUM($B$32,$B$34,$B$35,$B$36,$B$38,$B$39)*100),0,B34/SUM($B$32,$B$34,$B$35,$B$36,$B$38,$B$39)*100)</f>
        <v>0.77218028381177362</v>
      </c>
      <c r="D34" s="234"/>
      <c r="G34" s="15"/>
    </row>
    <row r="35" spans="1:7">
      <c r="A35" s="172" t="s">
        <v>74</v>
      </c>
      <c r="B35" s="33">
        <f>IF((($B$28-$B$32-$B$39-$B$77-$B$38)*C21/100)&lt;0,0,($B$28-$B$32-$B$39-$B$77-$B$38)*C21/100)</f>
        <v>1070.9448148148149</v>
      </c>
      <c r="C35" s="168">
        <f>IF(ISERROR(B35/SUM($B$32,$B$34,$B$35,$B$36,$B$38,$B$39)*100),0,B35/SUM($B$32,$B$34,$B$35,$B$36,$B$38,$B$39)*100)</f>
        <v>16.498918730778232</v>
      </c>
      <c r="D35" s="234"/>
      <c r="G35" s="15"/>
    </row>
    <row r="36" spans="1:7">
      <c r="A36" s="172" t="s">
        <v>75</v>
      </c>
      <c r="B36" s="33">
        <f>IF((($B$28-$B$32-$B$39-$B$77-$B$38)*C22/100)&lt;0,0,($B$28-$B$32-$B$39-$B$77-$B$38)*C22/100)</f>
        <v>232.23296296296294</v>
      </c>
      <c r="C36" s="168">
        <f>IF(ISERROR(B36/SUM($B$32,$B$34,$B$35,$B$36,$B$38,$B$39)*100),0,B36/SUM($B$32,$B$34,$B$35,$B$36,$B$38,$B$39)*100)</f>
        <v>3.5777686483278837</v>
      </c>
      <c r="D36" s="234"/>
      <c r="G36" s="15"/>
    </row>
    <row r="37" spans="1:7">
      <c r="A37" s="172" t="s">
        <v>76</v>
      </c>
      <c r="B37" s="34" t="s">
        <v>111</v>
      </c>
      <c r="C37" s="168"/>
      <c r="D37" s="174"/>
      <c r="G37" s="15"/>
    </row>
    <row r="38" spans="1:7">
      <c r="A38" s="172" t="s">
        <v>77</v>
      </c>
      <c r="B38" s="33">
        <f>IF((B24-(B29-B18)*0.1)&lt;0,0,B24-(B29-B18)*0.1)</f>
        <v>59.699999999999989</v>
      </c>
      <c r="C38" s="168">
        <f>IF(ISERROR(B38/SUM($B$32,$B$34,$B$35,$B$36,$B$38,$B$39)*100),0,B38/SUM($B$32,$B$34,$B$35,$B$36,$B$38,$B$39)*100)</f>
        <v>0.91973501771683863</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5078</v>
      </c>
      <c r="C44" s="34" t="s">
        <v>111</v>
      </c>
      <c r="D44" s="175"/>
    </row>
    <row r="45" spans="1:7">
      <c r="A45" s="172" t="s">
        <v>72</v>
      </c>
      <c r="B45" s="33" t="str">
        <f t="shared" si="0"/>
        <v>-</v>
      </c>
      <c r="C45" s="34" t="s">
        <v>111</v>
      </c>
      <c r="D45" s="175"/>
    </row>
    <row r="46" spans="1:7">
      <c r="A46" s="172" t="s">
        <v>73</v>
      </c>
      <c r="B46" s="33">
        <f t="shared" si="0"/>
        <v>50.12222222222222</v>
      </c>
      <c r="C46" s="34" t="s">
        <v>111</v>
      </c>
      <c r="D46" s="175"/>
    </row>
    <row r="47" spans="1:7">
      <c r="A47" s="172" t="s">
        <v>74</v>
      </c>
      <c r="B47" s="33">
        <f t="shared" si="0"/>
        <v>1070.9448148148149</v>
      </c>
      <c r="C47" s="34" t="s">
        <v>111</v>
      </c>
      <c r="D47" s="175"/>
    </row>
    <row r="48" spans="1:7">
      <c r="A48" s="172" t="s">
        <v>75</v>
      </c>
      <c r="B48" s="33">
        <f t="shared" si="0"/>
        <v>232.23296296296294</v>
      </c>
      <c r="C48" s="33">
        <f>B48*10</f>
        <v>2322.3296296296294</v>
      </c>
      <c r="D48" s="235"/>
    </row>
    <row r="49" spans="1:6">
      <c r="A49" s="172" t="s">
        <v>76</v>
      </c>
      <c r="B49" s="33" t="str">
        <f t="shared" si="0"/>
        <v>-</v>
      </c>
      <c r="C49" s="34" t="s">
        <v>111</v>
      </c>
      <c r="D49" s="235"/>
    </row>
    <row r="50" spans="1:6">
      <c r="A50" s="172" t="s">
        <v>77</v>
      </c>
      <c r="B50" s="33">
        <f t="shared" si="0"/>
        <v>59.699999999999989</v>
      </c>
      <c r="C50" s="33">
        <f>B50*2</f>
        <v>119.39999999999998</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113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6</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14257.76434681952</v>
      </c>
      <c r="C5" s="17">
        <f>IF(ISERROR('Eigen informatie GS &amp; warmtenet'!B58),0,'Eigen informatie GS &amp; warmtenet'!B58)</f>
        <v>0</v>
      </c>
      <c r="D5" s="30">
        <f>SUM(D6:D12)</f>
        <v>16020.741652621244</v>
      </c>
      <c r="E5" s="17">
        <f>SUM(E6:E12)</f>
        <v>288.36920498929476</v>
      </c>
      <c r="F5" s="17">
        <f>SUM(F6:F12)</f>
        <v>2567.3958616290383</v>
      </c>
      <c r="G5" s="18"/>
      <c r="H5" s="17"/>
      <c r="I5" s="17"/>
      <c r="J5" s="17">
        <f>SUM(J6:J12)</f>
        <v>0</v>
      </c>
      <c r="K5" s="17"/>
      <c r="L5" s="17"/>
      <c r="M5" s="17"/>
      <c r="N5" s="17">
        <f>SUM(N6:N12)</f>
        <v>208.18529473923519</v>
      </c>
      <c r="O5" s="17">
        <f>B38*B39*B40</f>
        <v>1.5633333333333335</v>
      </c>
      <c r="P5" s="17">
        <f>B46*B47*B48/1000-B46*B47*B48/1000/B49</f>
        <v>0</v>
      </c>
      <c r="R5" s="32"/>
    </row>
    <row r="6" spans="1:18">
      <c r="A6" s="32" t="s">
        <v>54</v>
      </c>
      <c r="B6" s="37">
        <f>B26</f>
        <v>3871.7770628820804</v>
      </c>
      <c r="C6" s="33"/>
      <c r="D6" s="37">
        <f>IF(ISERROR(TER_kantoor_gas_kWh/1000),0,TER_kantoor_gas_kWh/1000)*0.902</f>
        <v>6129.3835747131761</v>
      </c>
      <c r="E6" s="33">
        <f>$C$26*'E Balans VL '!I12/100/3.6*1000000</f>
        <v>135.52742779086634</v>
      </c>
      <c r="F6" s="33">
        <f>$C$26*('E Balans VL '!L12+'E Balans VL '!N12)/100/3.6*1000000</f>
        <v>587.04452897190095</v>
      </c>
      <c r="G6" s="34"/>
      <c r="H6" s="33"/>
      <c r="I6" s="33"/>
      <c r="J6" s="33">
        <f>$C$26*('E Balans VL '!D12+'E Balans VL '!E12)/100/3.6*1000000</f>
        <v>0</v>
      </c>
      <c r="K6" s="33"/>
      <c r="L6" s="33"/>
      <c r="M6" s="33"/>
      <c r="N6" s="33">
        <f>$C$26*'E Balans VL '!Y12/100/3.6*1000000</f>
        <v>29.927624863208941</v>
      </c>
      <c r="O6" s="33"/>
      <c r="P6" s="33"/>
      <c r="R6" s="32"/>
    </row>
    <row r="7" spans="1:18">
      <c r="A7" s="32" t="s">
        <v>53</v>
      </c>
      <c r="B7" s="37">
        <f t="shared" ref="B7:B12" si="0">B27</f>
        <v>1471.63287386354</v>
      </c>
      <c r="C7" s="33"/>
      <c r="D7" s="37">
        <f>IF(ISERROR(TER_horeca_gas_kWh/1000),0,TER_horeca_gas_kWh/1000)*0.902</f>
        <v>1904.6983395535399</v>
      </c>
      <c r="E7" s="33">
        <f>$C$27*'E Balans VL '!I9/100/3.6*1000000</f>
        <v>83.019662037522338</v>
      </c>
      <c r="F7" s="33">
        <f>$C$27*('E Balans VL '!L9+'E Balans VL '!N9)/100/3.6*1000000</f>
        <v>256.36659074791822</v>
      </c>
      <c r="G7" s="34"/>
      <c r="H7" s="33"/>
      <c r="I7" s="33"/>
      <c r="J7" s="33">
        <f>$C$27*('E Balans VL '!D9+'E Balans VL '!E9)/100/3.6*1000000</f>
        <v>0</v>
      </c>
      <c r="K7" s="33"/>
      <c r="L7" s="33"/>
      <c r="M7" s="33"/>
      <c r="N7" s="33">
        <f>$C$27*'E Balans VL '!Y9/100/3.6*1000000</f>
        <v>0</v>
      </c>
      <c r="O7" s="33"/>
      <c r="P7" s="33"/>
      <c r="R7" s="32"/>
    </row>
    <row r="8" spans="1:18">
      <c r="A8" s="6" t="s">
        <v>52</v>
      </c>
      <c r="B8" s="37">
        <f t="shared" si="0"/>
        <v>6308.8703012599199</v>
      </c>
      <c r="C8" s="33"/>
      <c r="D8" s="37">
        <f>IF(ISERROR(TER_handel_gas_kWh/1000),0,TER_handel_gas_kWh/1000)*0.902</f>
        <v>2553.7454986276471</v>
      </c>
      <c r="E8" s="33">
        <f>$C$28*'E Balans VL '!I13/100/3.6*1000000</f>
        <v>32.389099154742063</v>
      </c>
      <c r="F8" s="33">
        <f>$C$28*('E Balans VL '!L13+'E Balans VL '!N13)/100/3.6*1000000</f>
        <v>972.73031840115539</v>
      </c>
      <c r="G8" s="34"/>
      <c r="H8" s="33"/>
      <c r="I8" s="33"/>
      <c r="J8" s="33">
        <f>$C$28*('E Balans VL '!D13+'E Balans VL '!E13)/100/3.6*1000000</f>
        <v>0</v>
      </c>
      <c r="K8" s="33"/>
      <c r="L8" s="33"/>
      <c r="M8" s="33"/>
      <c r="N8" s="33">
        <f>$C$28*'E Balans VL '!Y13/100/3.6*1000000</f>
        <v>2.9507356500271431</v>
      </c>
      <c r="O8" s="33"/>
      <c r="P8" s="33"/>
      <c r="R8" s="32"/>
    </row>
    <row r="9" spans="1:18">
      <c r="A9" s="32" t="s">
        <v>51</v>
      </c>
      <c r="B9" s="37">
        <f t="shared" si="0"/>
        <v>106.833722639733</v>
      </c>
      <c r="C9" s="33"/>
      <c r="D9" s="37">
        <f>IF(ISERROR(TER_gezond_gas_kWh/1000),0,TER_gezond_gas_kWh/1000)*0.902</f>
        <v>75.315169608818124</v>
      </c>
      <c r="E9" s="33">
        <f>$C$29*'E Balans VL '!I10/100/3.6*1000000</f>
        <v>4.4281817191665122E-2</v>
      </c>
      <c r="F9" s="33">
        <f>$C$29*('E Balans VL '!L10+'E Balans VL '!N10)/100/3.6*1000000</f>
        <v>26.311613686199561</v>
      </c>
      <c r="G9" s="34"/>
      <c r="H9" s="33"/>
      <c r="I9" s="33"/>
      <c r="J9" s="33">
        <f>$C$29*('E Balans VL '!D10+'E Balans VL '!E10)/100/3.6*1000000</f>
        <v>0</v>
      </c>
      <c r="K9" s="33"/>
      <c r="L9" s="33"/>
      <c r="M9" s="33"/>
      <c r="N9" s="33">
        <f>$C$29*'E Balans VL '!Y10/100/3.6*1000000</f>
        <v>0.92330779043763178</v>
      </c>
      <c r="O9" s="33"/>
      <c r="P9" s="33"/>
      <c r="R9" s="32"/>
    </row>
    <row r="10" spans="1:18">
      <c r="A10" s="32" t="s">
        <v>50</v>
      </c>
      <c r="B10" s="37">
        <f t="shared" si="0"/>
        <v>558.51806903447903</v>
      </c>
      <c r="C10" s="33"/>
      <c r="D10" s="37">
        <f>IF(ISERROR(TER_ander_gas_kWh/1000),0,TER_ander_gas_kWh/1000)*0.902</f>
        <v>535.70128580479718</v>
      </c>
      <c r="E10" s="33">
        <f>$C$30*'E Balans VL '!I14/100/3.6*1000000</f>
        <v>3.4047399289815226</v>
      </c>
      <c r="F10" s="33">
        <f>$C$30*('E Balans VL '!L14+'E Balans VL '!N14)/100/3.6*1000000</f>
        <v>148.07079093071485</v>
      </c>
      <c r="G10" s="34"/>
      <c r="H10" s="33"/>
      <c r="I10" s="33"/>
      <c r="J10" s="33">
        <f>$C$30*('E Balans VL '!D14+'E Balans VL '!E14)/100/3.6*1000000</f>
        <v>0</v>
      </c>
      <c r="K10" s="33"/>
      <c r="L10" s="33"/>
      <c r="M10" s="33"/>
      <c r="N10" s="33">
        <f>$C$30*'E Balans VL '!Y14/100/3.6*1000000</f>
        <v>128.72634622528184</v>
      </c>
      <c r="O10" s="33"/>
      <c r="P10" s="33"/>
      <c r="R10" s="32"/>
    </row>
    <row r="11" spans="1:18">
      <c r="A11" s="32" t="s">
        <v>55</v>
      </c>
      <c r="B11" s="37">
        <f t="shared" si="0"/>
        <v>368.67909588015999</v>
      </c>
      <c r="C11" s="33"/>
      <c r="D11" s="37">
        <f>IF(ISERROR(TER_onderwijs_gas_kWh/1000),0,TER_onderwijs_gas_kWh/1000)*0.902</f>
        <v>1503.6615774225766</v>
      </c>
      <c r="E11" s="33">
        <f>$C$31*'E Balans VL '!I11/100/3.6*1000000</f>
        <v>0.28095266838401128</v>
      </c>
      <c r="F11" s="33">
        <f>$C$31*('E Balans VL '!L11+'E Balans VL '!N11)/100/3.6*1000000</f>
        <v>266.79639823400146</v>
      </c>
      <c r="G11" s="34"/>
      <c r="H11" s="33"/>
      <c r="I11" s="33"/>
      <c r="J11" s="33">
        <f>$C$31*('E Balans VL '!D11+'E Balans VL '!E11)/100/3.6*1000000</f>
        <v>0</v>
      </c>
      <c r="K11" s="33"/>
      <c r="L11" s="33"/>
      <c r="M11" s="33"/>
      <c r="N11" s="33">
        <f>$C$31*'E Balans VL '!Y11/100/3.6*1000000</f>
        <v>1.0865854082571602</v>
      </c>
      <c r="O11" s="33"/>
      <c r="P11" s="33"/>
      <c r="R11" s="32"/>
    </row>
    <row r="12" spans="1:18">
      <c r="A12" s="32" t="s">
        <v>261</v>
      </c>
      <c r="B12" s="37">
        <f t="shared" si="0"/>
        <v>1571.45322125961</v>
      </c>
      <c r="C12" s="33"/>
      <c r="D12" s="37">
        <f>IF(ISERROR(TER_rest_gas_kWh/1000),0,TER_rest_gas_kWh/1000)*0.902</f>
        <v>3318.2362068906887</v>
      </c>
      <c r="E12" s="33">
        <f>$C$32*'E Balans VL '!I8/100/3.6*1000000</f>
        <v>33.703041591606869</v>
      </c>
      <c r="F12" s="33">
        <f>$C$32*('E Balans VL '!L8+'E Balans VL '!N8)/100/3.6*1000000</f>
        <v>310.07562065714751</v>
      </c>
      <c r="G12" s="34"/>
      <c r="H12" s="33"/>
      <c r="I12" s="33"/>
      <c r="J12" s="33">
        <f>$C$32*('E Balans VL '!D8+'E Balans VL '!E8)/100/3.6*1000000</f>
        <v>0</v>
      </c>
      <c r="K12" s="33"/>
      <c r="L12" s="33"/>
      <c r="M12" s="33"/>
      <c r="N12" s="33">
        <f>$C$32*'E Balans VL '!Y8/100/3.6*1000000</f>
        <v>44.570694802022459</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14257.76434681952</v>
      </c>
      <c r="C16" s="21">
        <f ca="1">C5+C13+C14</f>
        <v>0</v>
      </c>
      <c r="D16" s="21">
        <f t="shared" ref="D16:N16" ca="1" si="1">MAX((D5+D13+D14),0)</f>
        <v>16020.741652621244</v>
      </c>
      <c r="E16" s="21">
        <f t="shared" si="1"/>
        <v>288.36920498929476</v>
      </c>
      <c r="F16" s="21">
        <f t="shared" ca="1" si="1"/>
        <v>2567.3958616290383</v>
      </c>
      <c r="G16" s="21">
        <f t="shared" si="1"/>
        <v>0</v>
      </c>
      <c r="H16" s="21">
        <f t="shared" si="1"/>
        <v>0</v>
      </c>
      <c r="I16" s="21">
        <f t="shared" si="1"/>
        <v>0</v>
      </c>
      <c r="J16" s="21">
        <f t="shared" si="1"/>
        <v>0</v>
      </c>
      <c r="K16" s="21">
        <f t="shared" si="1"/>
        <v>0</v>
      </c>
      <c r="L16" s="21">
        <f t="shared" ca="1" si="1"/>
        <v>0</v>
      </c>
      <c r="M16" s="21">
        <f t="shared" si="1"/>
        <v>0</v>
      </c>
      <c r="N16" s="21">
        <f t="shared" ca="1" si="1"/>
        <v>208.18529473923519</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0.17035813733331684</v>
      </c>
      <c r="C18" s="25">
        <f ca="1">'EF ele_warmte'!B22</f>
        <v>7.8529411764705875E-2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2428.9261766615482</v>
      </c>
      <c r="C20" s="23">
        <f t="shared" ref="C20:P20" ca="1" si="2">C16*C18</f>
        <v>0</v>
      </c>
      <c r="D20" s="23">
        <f t="shared" ca="1" si="2"/>
        <v>3236.1898138294914</v>
      </c>
      <c r="E20" s="23">
        <f t="shared" si="2"/>
        <v>65.459809532569906</v>
      </c>
      <c r="F20" s="23">
        <f t="shared" ca="1" si="2"/>
        <v>685.49469505495324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3871.7770628820804</v>
      </c>
      <c r="C26" s="39">
        <f>IF(ISERROR(B26*3.6/1000000/'E Balans VL '!Z12*100),0,B26*3.6/1000000/'E Balans VL '!Z12*100)</f>
        <v>8.1475127429408156E-2</v>
      </c>
      <c r="D26" s="238" t="s">
        <v>720</v>
      </c>
      <c r="F26" s="6"/>
    </row>
    <row r="27" spans="1:18">
      <c r="A27" s="232" t="s">
        <v>53</v>
      </c>
      <c r="B27" s="33">
        <f>IF(ISERROR(TER_horeca_ele_kWh/1000),0,TER_horeca_ele_kWh/1000)</f>
        <v>1471.63287386354</v>
      </c>
      <c r="C27" s="39">
        <f>IF(ISERROR(B27*3.6/1000000/'E Balans VL '!Z9*100),0,B27*3.6/1000000/'E Balans VL '!Z9*100)</f>
        <v>0.12459902017994538</v>
      </c>
      <c r="D27" s="238" t="s">
        <v>720</v>
      </c>
      <c r="F27" s="6"/>
    </row>
    <row r="28" spans="1:18">
      <c r="A28" s="172" t="s">
        <v>52</v>
      </c>
      <c r="B28" s="33">
        <f>IF(ISERROR(TER_handel_ele_kWh/1000),0,TER_handel_ele_kWh/1000)</f>
        <v>6308.8703012599199</v>
      </c>
      <c r="C28" s="39">
        <f>IF(ISERROR(B28*3.6/1000000/'E Balans VL '!Z13*100),0,B28*3.6/1000000/'E Balans VL '!Z13*100)</f>
        <v>0.1746602019058161</v>
      </c>
      <c r="D28" s="238" t="s">
        <v>720</v>
      </c>
      <c r="F28" s="6"/>
    </row>
    <row r="29" spans="1:18">
      <c r="A29" s="232" t="s">
        <v>51</v>
      </c>
      <c r="B29" s="33">
        <f>IF(ISERROR(TER_gezond_ele_kWh/1000),0,TER_gezond_ele_kWh/1000)</f>
        <v>106.833722639733</v>
      </c>
      <c r="C29" s="39">
        <f>IF(ISERROR(B29*3.6/1000000/'E Balans VL '!Z10*100),0,B29*3.6/1000000/'E Balans VL '!Z10*100)</f>
        <v>1.3887199553262142E-2</v>
      </c>
      <c r="D29" s="238" t="s">
        <v>720</v>
      </c>
      <c r="F29" s="6"/>
    </row>
    <row r="30" spans="1:18">
      <c r="A30" s="232" t="s">
        <v>50</v>
      </c>
      <c r="B30" s="33">
        <f>IF(ISERROR(TER_ander_ele_kWh/1000),0,TER_ander_ele_kWh/1000)</f>
        <v>558.51806903447903</v>
      </c>
      <c r="C30" s="39">
        <f>IF(ISERROR(B30*3.6/1000000/'E Balans VL '!Z14*100),0,B30*3.6/1000000/'E Balans VL '!Z14*100)</f>
        <v>4.3290272352140113E-2</v>
      </c>
      <c r="D30" s="238" t="s">
        <v>720</v>
      </c>
      <c r="F30" s="6"/>
    </row>
    <row r="31" spans="1:18">
      <c r="A31" s="232" t="s">
        <v>55</v>
      </c>
      <c r="B31" s="33">
        <f>IF(ISERROR(TER_onderwijs_ele_kWh/1000),0,TER_onderwijs_ele_kWh/1000)</f>
        <v>368.67909588015999</v>
      </c>
      <c r="C31" s="39">
        <f>IF(ISERROR(B31*3.6/1000000/'E Balans VL '!Z11*100),0,B31*3.6/1000000/'E Balans VL '!Z11*100)</f>
        <v>7.0534593200724457E-2</v>
      </c>
      <c r="D31" s="238" t="s">
        <v>720</v>
      </c>
    </row>
    <row r="32" spans="1:18">
      <c r="A32" s="232" t="s">
        <v>261</v>
      </c>
      <c r="B32" s="33">
        <f>IF(ISERROR(TER_rest_ele_kWh/1000),0,TER_rest_ele_kWh/1000)</f>
        <v>1571.45322125961</v>
      </c>
      <c r="C32" s="39">
        <f>IF(ISERROR(B32*3.6/1000000/'E Balans VL '!Z8*100),0,B32*3.6/1000000/'E Balans VL '!Z8*100)</f>
        <v>1.2957838552670999E-2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10361.363820649964</v>
      </c>
      <c r="C5" s="17">
        <f>IF(ISERROR('Eigen informatie GS &amp; warmtenet'!B59),0,'Eigen informatie GS &amp; warmtenet'!B59)</f>
        <v>0</v>
      </c>
      <c r="D5" s="30">
        <f>SUM(D6:D15)</f>
        <v>8988.8698199016035</v>
      </c>
      <c r="E5" s="17">
        <f>SUM(E6:E15)</f>
        <v>103.51385325064356</v>
      </c>
      <c r="F5" s="17">
        <f>SUM(F6:F15)</f>
        <v>2517.7508407398009</v>
      </c>
      <c r="G5" s="18"/>
      <c r="H5" s="17"/>
      <c r="I5" s="17"/>
      <c r="J5" s="17">
        <f>SUM(J6:J15)</f>
        <v>51.025294105276089</v>
      </c>
      <c r="K5" s="17"/>
      <c r="L5" s="17"/>
      <c r="M5" s="17"/>
      <c r="N5" s="17">
        <f>SUM(N6:N15)</f>
        <v>228.63061756189163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518.94761762610699</v>
      </c>
      <c r="C8" s="33"/>
      <c r="D8" s="37">
        <f>IF( ISERROR(IND_metaal_Gas_kWH/1000),0,IND_metaal_Gas_kWH/1000)*0.902</f>
        <v>0</v>
      </c>
      <c r="E8" s="33">
        <f>C30*'E Balans VL '!I18/100/3.6*1000000</f>
        <v>3.6465304084606025</v>
      </c>
      <c r="F8" s="33">
        <f>C30*'E Balans VL '!L18/100/3.6*1000000+C30*'E Balans VL '!N18/100/3.6*1000000</f>
        <v>56.977412272940384</v>
      </c>
      <c r="G8" s="34"/>
      <c r="H8" s="33"/>
      <c r="I8" s="33"/>
      <c r="J8" s="40">
        <f>C30*'E Balans VL '!D18/100/3.6*1000000+C30*'E Balans VL '!E18/100/3.6*1000000</f>
        <v>10.70700788705193</v>
      </c>
      <c r="K8" s="33"/>
      <c r="L8" s="33"/>
      <c r="M8" s="33"/>
      <c r="N8" s="33">
        <f>C30*'E Balans VL '!Y18/100/3.6*1000000</f>
        <v>1.9450530454299819</v>
      </c>
      <c r="O8" s="33"/>
      <c r="P8" s="33"/>
      <c r="R8" s="32"/>
    </row>
    <row r="9" spans="1:18">
      <c r="A9" s="6" t="s">
        <v>33</v>
      </c>
      <c r="B9" s="37">
        <f t="shared" si="0"/>
        <v>1285.7006038904699</v>
      </c>
      <c r="C9" s="33"/>
      <c r="D9" s="37">
        <f>IF( ISERROR(IND_andere_gas_kWh/1000),0,IND_andere_gas_kWh/1000)*0.902</f>
        <v>1111.4932219604207</v>
      </c>
      <c r="E9" s="33">
        <f>C31*'E Balans VL '!I19/100/3.6*1000000</f>
        <v>21.594916675868227</v>
      </c>
      <c r="F9" s="33">
        <f>C31*'E Balans VL '!L19/100/3.6*1000000+C31*'E Balans VL '!N19/100/3.6*1000000</f>
        <v>1005.0875040829317</v>
      </c>
      <c r="G9" s="34"/>
      <c r="H9" s="33"/>
      <c r="I9" s="33"/>
      <c r="J9" s="40">
        <f>C31*'E Balans VL '!D19/100/3.6*1000000+C31*'E Balans VL '!E19/100/3.6*1000000</f>
        <v>0.11595884509680604</v>
      </c>
      <c r="K9" s="33"/>
      <c r="L9" s="33"/>
      <c r="M9" s="33"/>
      <c r="N9" s="33">
        <f>C31*'E Balans VL '!Y19/100/3.6*1000000</f>
        <v>95.291041998506472</v>
      </c>
      <c r="O9" s="33"/>
      <c r="P9" s="33"/>
      <c r="R9" s="32"/>
    </row>
    <row r="10" spans="1:18">
      <c r="A10" s="6" t="s">
        <v>41</v>
      </c>
      <c r="B10" s="37">
        <f t="shared" si="0"/>
        <v>6612.7109090946296</v>
      </c>
      <c r="C10" s="33"/>
      <c r="D10" s="37">
        <f>IF( ISERROR(IND_voed_gas_kWh/1000),0,IND_voed_gas_kWh/1000)*0.902</f>
        <v>4314.7786704671207</v>
      </c>
      <c r="E10" s="33">
        <f>C32*'E Balans VL '!I20/100/3.6*1000000</f>
        <v>60.331626422693233</v>
      </c>
      <c r="F10" s="33">
        <f>C32*'E Balans VL '!L20/100/3.6*1000000+C32*'E Balans VL '!N20/100/3.6*1000000</f>
        <v>1066.8371031298827</v>
      </c>
      <c r="G10" s="34"/>
      <c r="H10" s="33"/>
      <c r="I10" s="33"/>
      <c r="J10" s="40">
        <f>C32*'E Balans VL '!D20/100/3.6*1000000+C32*'E Balans VL '!E20/100/3.6*1000000</f>
        <v>27.235479026784063</v>
      </c>
      <c r="K10" s="33"/>
      <c r="L10" s="33"/>
      <c r="M10" s="33"/>
      <c r="N10" s="33">
        <f>C32*'E Balans VL '!Y20/100/3.6*1000000</f>
        <v>96.738746331158566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18.240536152587701</v>
      </c>
      <c r="C13" s="33"/>
      <c r="D13" s="37">
        <f>IF( ISERROR(IND_papier_gas_kWh/1000),0,IND_papier_gas_kWh/1000)*0.902</f>
        <v>0</v>
      </c>
      <c r="E13" s="33">
        <f>C35*'E Balans VL '!I23/100/3.6*1000000</f>
        <v>0.56121369385545761</v>
      </c>
      <c r="F13" s="33">
        <f>C35*'E Balans VL '!L23/100/3.6*1000000+C35*'E Balans VL '!N23/100/3.6*1000000</f>
        <v>3.8731032942697077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1925.7641538861699</v>
      </c>
      <c r="C15" s="33"/>
      <c r="D15" s="37">
        <f>IF( ISERROR(IND_rest_gas_kWh/1000),0,IND_rest_gas_kWh/1000)*0.902</f>
        <v>3562.5979274740621</v>
      </c>
      <c r="E15" s="33">
        <f>C37*'E Balans VL '!I15/100/3.6*1000000</f>
        <v>17.379566049766034</v>
      </c>
      <c r="F15" s="33">
        <f>C37*'E Balans VL '!L15/100/3.6*1000000+C37*'E Balans VL '!N15/100/3.6*1000000</f>
        <v>384.97571795977632</v>
      </c>
      <c r="G15" s="34"/>
      <c r="H15" s="33"/>
      <c r="I15" s="33"/>
      <c r="J15" s="40">
        <f>C37*'E Balans VL '!D15/100/3.6*1000000+C37*'E Balans VL '!E15/100/3.6*1000000</f>
        <v>12.966848346343289</v>
      </c>
      <c r="K15" s="33"/>
      <c r="L15" s="33"/>
      <c r="M15" s="33"/>
      <c r="N15" s="33">
        <f>C37*'E Balans VL '!Y15/100/3.6*1000000</f>
        <v>34.655776186796594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10361.363820649964</v>
      </c>
      <c r="C18" s="21">
        <f>C5+C16</f>
        <v>0</v>
      </c>
      <c r="D18" s="21">
        <f>MAX((D5+D16),0)</f>
        <v>8988.8698199016035</v>
      </c>
      <c r="E18" s="21">
        <f>MAX((E5+E16),0)</f>
        <v>103.51385325064356</v>
      </c>
      <c r="F18" s="21">
        <f>MAX((F5+F16),0)</f>
        <v>2517.7508407398009</v>
      </c>
      <c r="G18" s="21"/>
      <c r="H18" s="21"/>
      <c r="I18" s="21"/>
      <c r="J18" s="21">
        <f>MAX((J5+J16),0)</f>
        <v>51.025294105276089</v>
      </c>
      <c r="K18" s="21"/>
      <c r="L18" s="21">
        <f>MAX((L5+L16),0)</f>
        <v>0</v>
      </c>
      <c r="M18" s="21"/>
      <c r="N18" s="21">
        <f>MAX((N5+N16),0)</f>
        <v>228.63061756189163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0.17035813733331684</v>
      </c>
      <c r="C20" s="25">
        <f ca="1">'EF ele_warmte'!B22</f>
        <v>7.8529411764705875E-2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1765.1426407187469</v>
      </c>
      <c r="C22" s="23">
        <f ca="1">C18*C20</f>
        <v>0</v>
      </c>
      <c r="D22" s="23">
        <f>D18*D20</f>
        <v>1815.7517036201241</v>
      </c>
      <c r="E22" s="23">
        <f>E18*E20</f>
        <v>23.497644687896091</v>
      </c>
      <c r="F22" s="23">
        <f>F18*F20</f>
        <v>672.23947447752687</v>
      </c>
      <c r="G22" s="23"/>
      <c r="H22" s="23"/>
      <c r="I22" s="23"/>
      <c r="J22" s="23">
        <f>J18*J20</f>
        <v>18.062954113267736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518.94761762610699</v>
      </c>
      <c r="C30" s="39">
        <f>IF(ISERROR(B30*3.6/1000000/'E Balans VL '!Z18*100),0,B30*3.6/1000000/'E Balans VL '!Z18*100)</f>
        <v>3.4546659801340592E-2</v>
      </c>
      <c r="D30" s="238" t="s">
        <v>720</v>
      </c>
    </row>
    <row r="31" spans="1:18">
      <c r="A31" s="6" t="s">
        <v>33</v>
      </c>
      <c r="B31" s="37">
        <f>IF( ISERROR(IND_ander_ele_kWh/1000),0,IND_ander_ele_kWh/1000)</f>
        <v>1285.7006038904699</v>
      </c>
      <c r="C31" s="39">
        <f>IF(ISERROR(B31*3.6/1000000/'E Balans VL '!Z19*100),0,B31*3.6/1000000/'E Balans VL '!Z19*100)</f>
        <v>5.6990012607303991E-2</v>
      </c>
      <c r="D31" s="238" t="s">
        <v>720</v>
      </c>
    </row>
    <row r="32" spans="1:18">
      <c r="A32" s="172" t="s">
        <v>41</v>
      </c>
      <c r="B32" s="37">
        <f>IF( ISERROR(IND_voed_ele_kWh/1000),0,IND_voed_ele_kWh/1000)</f>
        <v>6612.7109090946296</v>
      </c>
      <c r="C32" s="39">
        <f>IF(ISERROR(B32*3.6/1000000/'E Balans VL '!Z20*100),0,B32*3.6/1000000/'E Balans VL '!Z20*100)</f>
        <v>0.22088351377623702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18.240536152587701</v>
      </c>
      <c r="C35" s="39">
        <f>IF(ISERROR(B35*3.6/1000000/'E Balans VL '!Z22*100),0,B35*3.6/1000000/'E Balans VL '!Z22*100)</f>
        <v>3.5475839207778745E-3</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1925.7641538861699</v>
      </c>
      <c r="C37" s="39">
        <f>IF(ISERROR(B37*3.6/1000000/'E Balans VL '!Z15*100),0,B37*3.6/1000000/'E Balans VL '!Z15*100)</f>
        <v>1.4324547966740889E-2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2179.348931510669</v>
      </c>
      <c r="C5" s="17">
        <f>'Eigen informatie GS &amp; warmtenet'!B60</f>
        <v>0</v>
      </c>
      <c r="D5" s="30">
        <f>IF(ISERROR(SUM(LB_lb_gas_kWh,LB_rest_gas_kWh,onbekend_gas_kWh)/1000),0,SUM(LB_lb_gas_kWh,LB_rest_gas_kWh,onbekend_gas_kWh)/1000)*0.902</f>
        <v>2796.4992085617532</v>
      </c>
      <c r="E5" s="17">
        <f>B17*'E Balans VL '!I25/3.6*1000000/100</f>
        <v>22.822613820583104</v>
      </c>
      <c r="F5" s="17">
        <f>B17*('E Balans VL '!L25/3.6*1000000+'E Balans VL '!N25/3.6*1000000)/100</f>
        <v>11193.483117476049</v>
      </c>
      <c r="G5" s="18"/>
      <c r="H5" s="17"/>
      <c r="I5" s="17"/>
      <c r="J5" s="17">
        <f>('E Balans VL '!D25+'E Balans VL '!E25)/3.6*1000000*landbouw!B17/100</f>
        <v>194.63539342161653</v>
      </c>
      <c r="K5" s="17"/>
      <c r="L5" s="17">
        <f>L6*(-1)</f>
        <v>4455</v>
      </c>
      <c r="M5" s="17"/>
      <c r="N5" s="17">
        <f>N6*(-1)</f>
        <v>0</v>
      </c>
      <c r="O5" s="17"/>
      <c r="P5" s="17"/>
      <c r="R5" s="32"/>
    </row>
    <row r="6" spans="1:18">
      <c r="A6" s="16" t="s">
        <v>497</v>
      </c>
      <c r="B6" s="17" t="s">
        <v>212</v>
      </c>
      <c r="C6" s="17">
        <f>'lokale energieproductie'!O91+'lokale energieproductie'!O60</f>
        <v>2673</v>
      </c>
      <c r="D6" s="311">
        <f>('lokale energieproductie'!P60+'lokale energieproductie'!P91)*(-1)</f>
        <v>0</v>
      </c>
      <c r="E6" s="249"/>
      <c r="F6" s="311">
        <f>('lokale energieproductie'!S60+'lokale energieproductie'!S91)*(-1)</f>
        <v>-1485</v>
      </c>
      <c r="G6" s="250"/>
      <c r="H6" s="249"/>
      <c r="I6" s="249"/>
      <c r="J6" s="249"/>
      <c r="K6" s="249"/>
      <c r="L6" s="311">
        <f>('lokale energieproductie'!T60+'lokale energieproductie'!U60+'lokale energieproductie'!T91+'lokale energieproductie'!U91)*(-1)</f>
        <v>-4455</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2179.348931510669</v>
      </c>
      <c r="C8" s="21">
        <f>C5+C6</f>
        <v>2673</v>
      </c>
      <c r="D8" s="21">
        <f>MAX((D5+D6),0)</f>
        <v>2796.4992085617532</v>
      </c>
      <c r="E8" s="21">
        <f>MAX((E5+E6),0)</f>
        <v>22.822613820583104</v>
      </c>
      <c r="F8" s="21">
        <f>MAX((F5+F6),0)</f>
        <v>9708.4831174760493</v>
      </c>
      <c r="G8" s="21"/>
      <c r="H8" s="21"/>
      <c r="I8" s="21"/>
      <c r="J8" s="21">
        <f>MAX((J5+J6),0)</f>
        <v>194.63539342161653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0.17035813733331684</v>
      </c>
      <c r="C10" s="31">
        <f ca="1">'EF ele_warmte'!B22</f>
        <v>7.8529411764705875E-2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371.26982457151189</v>
      </c>
      <c r="C12" s="23">
        <f ca="1">C8*C10</f>
        <v>209.90911764705879</v>
      </c>
      <c r="D12" s="23">
        <f>D8*D10</f>
        <v>564.89284012947417</v>
      </c>
      <c r="E12" s="23">
        <f>E8*E10</f>
        <v>5.1807333372723647</v>
      </c>
      <c r="F12" s="23">
        <f>F8*F10</f>
        <v>2592.1649923661053</v>
      </c>
      <c r="G12" s="23"/>
      <c r="H12" s="23"/>
      <c r="I12" s="23"/>
      <c r="J12" s="23">
        <f>J8*J10</f>
        <v>68.900929271252252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0.33544386976819418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342.34241606506038</v>
      </c>
      <c r="C26" s="248">
        <f>B26*'GWP N2O_CH4'!B5</f>
        <v>7189.190737366268</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196.00476553385059</v>
      </c>
      <c r="C27" s="248">
        <f>B27*'GWP N2O_CH4'!B5</f>
        <v>4116.1000762108624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4.6308129222226224</v>
      </c>
      <c r="C28" s="248">
        <f>B28*'GWP N2O_CH4'!B4</f>
        <v>1435.5520058890129</v>
      </c>
      <c r="D28" s="50"/>
    </row>
    <row r="29" spans="1:4">
      <c r="A29" s="41" t="s">
        <v>278</v>
      </c>
      <c r="B29" s="248">
        <f>B34*'ha_N2O bodem landbouw'!B4</f>
        <v>15.726865015433843</v>
      </c>
      <c r="C29" s="248">
        <f>B29*'GWP N2O_CH4'!B4</f>
        <v>4875.3281547844908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2.599070995676145E-3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3.6814792509416852E-6</v>
      </c>
      <c r="C5" s="446" t="s">
        <v>212</v>
      </c>
      <c r="D5" s="431">
        <f>SUM(D6:D11)</f>
        <v>1.765664985110413E-5</v>
      </c>
      <c r="E5" s="431">
        <f>SUM(E6:E11)</f>
        <v>2.0912220561752131E-3</v>
      </c>
      <c r="F5" s="444" t="s">
        <v>212</v>
      </c>
      <c r="G5" s="431">
        <f>SUM(G6:G11)</f>
        <v>0.47738148362749144</v>
      </c>
      <c r="H5" s="431">
        <f>SUM(H6:H11)</f>
        <v>6.1095352161276748E-2</v>
      </c>
      <c r="I5" s="446" t="s">
        <v>212</v>
      </c>
      <c r="J5" s="446" t="s">
        <v>212</v>
      </c>
      <c r="K5" s="446" t="s">
        <v>212</v>
      </c>
      <c r="L5" s="446" t="s">
        <v>212</v>
      </c>
      <c r="M5" s="431">
        <f>SUM(M6:M11)</f>
        <v>2.3441006680870721E-2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8.5241189623543412E-7</v>
      </c>
      <c r="C6" s="432"/>
      <c r="D6" s="432">
        <f>vkm_2011_GW_PW*SUMIFS(TableVerdeelsleutelVkm[CNG],TableVerdeelsleutelVkm[Voertuigtype],"Lichte voertuigen")*SUMIFS(TableECFTransport[EnergieConsumptieFactor (PJ per km)],TableECFTransport[Index],CONCATENATE($A6,"_CNG_CNG"))</f>
        <v>3.6746486004215374E-6</v>
      </c>
      <c r="E6" s="434">
        <f>vkm_2011_GW_PW*SUMIFS(TableVerdeelsleutelVkm[LPG],TableVerdeelsleutelVkm[Voertuigtype],"Lichte voertuigen")*SUMIFS(TableECFTransport[EnergieConsumptieFactor (PJ per km)],TableECFTransport[Index],CONCATENATE($A6,"_LPG_LPG"))</f>
        <v>3.8232463970327144E-4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4.702698027126357E-2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1.2381229364367611E-2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2.603552560105036E-3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2.9528056399238944E-2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1.0124761349909146E-5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1.2755567104635467E-3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4.1202822041276082E-7</v>
      </c>
      <c r="C8" s="432"/>
      <c r="D8" s="434">
        <f>vkm_2011_NGW_PW*SUMIFS(TableVerdeelsleutelVkm[CNG],TableVerdeelsleutelVkm[Voertuigtype],"Lichte voertuigen")*SUMIFS(TableECFTransport[EnergieConsumptieFactor (PJ per km)],TableECFTransport[Index],CONCATENATE($A8,"_CNG_CNG"))</f>
        <v>3.1865564038229802E-6</v>
      </c>
      <c r="E8" s="434">
        <f>vkm_2011_NGW_PW*SUMIFS(TableVerdeelsleutelVkm[LPG],TableVerdeelsleutelVkm[Voertuigtype],"Lichte voertuigen")*SUMIFS(TableECFTransport[EnergieConsumptieFactor (PJ per km)],TableECFTransport[Index],CONCATENATE($A8,"_LPG_LPG"))</f>
        <v>3.0272210899880435E-4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3.5317166624681297E-2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1.0248882851631199E-2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1.9992426855948136E-3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1.6181728235095984E-2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4.8201117297756496E-6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6.9898664180712824E-4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2.4170391342934903E-6</v>
      </c>
      <c r="C10" s="432"/>
      <c r="D10" s="434">
        <f>vkm_2011_SW_PW*SUMIFS(TableVerdeelsleutelVkm[CNG],TableVerdeelsleutelVkm[Voertuigtype],"Lichte voertuigen")*SUMIFS(TableECFTransport[EnergieConsumptieFactor (PJ per km)],TableECFTransport[Index],CONCATENATE($A10,"_CNG_CNG"))</f>
        <v>1.0795444846859611E-5</v>
      </c>
      <c r="E10" s="434">
        <f>vkm_2011_SW_PW*SUMIFS(TableVerdeelsleutelVkm[LPG],TableVerdeelsleutelVkm[Voertuigtype],"Lichte voertuigen")*SUMIFS(TableECFTransport[EnergieConsumptieFactor (PJ per km)],TableECFTransport[Index],CONCATENATE($A10,"_LPG_LPG"))</f>
        <v>1.4061753074731376E-3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0.15901227303221349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3.8380669067315985E-2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8.6422024585833517E-3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0.19031527906499821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6.962600488226526E-5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8.2214656243168472E-3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1.0226331252615792</v>
      </c>
      <c r="C14" s="21"/>
      <c r="D14" s="21">
        <f t="shared" ref="D14:M14" si="0">((D5)*10^9/3600)+D12</f>
        <v>4.9046249586400368</v>
      </c>
      <c r="E14" s="21">
        <f t="shared" si="0"/>
        <v>580.89501560422582</v>
      </c>
      <c r="F14" s="21"/>
      <c r="G14" s="21">
        <f t="shared" si="0"/>
        <v>132605.96767430316</v>
      </c>
      <c r="H14" s="21">
        <f t="shared" si="0"/>
        <v>16970.93115591021</v>
      </c>
      <c r="I14" s="21"/>
      <c r="J14" s="21"/>
      <c r="K14" s="21"/>
      <c r="L14" s="21"/>
      <c r="M14" s="21">
        <f t="shared" si="0"/>
        <v>6511.3907446863122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0.17035813733331684</v>
      </c>
      <c r="C16" s="56">
        <f ca="1">'EF ele_warmte'!B22</f>
        <v>7.8529411764705875E-2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0.17421387439491112</v>
      </c>
      <c r="C18" s="23"/>
      <c r="D18" s="23">
        <f t="shared" ref="D18:M18" si="1">D14*D16</f>
        <v>0.99073424164528745</v>
      </c>
      <c r="E18" s="23">
        <f t="shared" si="1"/>
        <v>131.86316854215926</v>
      </c>
      <c r="F18" s="23"/>
      <c r="G18" s="23">
        <f t="shared" si="1"/>
        <v>35405.793369038947</v>
      </c>
      <c r="H18" s="23">
        <f t="shared" si="1"/>
        <v>4225.7618578216425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5.6345372107456902E-3</v>
      </c>
      <c r="H50" s="322">
        <f t="shared" si="2"/>
        <v>0</v>
      </c>
      <c r="I50" s="322">
        <f t="shared" si="2"/>
        <v>0</v>
      </c>
      <c r="J50" s="322">
        <f t="shared" si="2"/>
        <v>0</v>
      </c>
      <c r="K50" s="322">
        <f t="shared" si="2"/>
        <v>0</v>
      </c>
      <c r="L50" s="322">
        <f t="shared" si="2"/>
        <v>0</v>
      </c>
      <c r="M50" s="322">
        <f t="shared" si="2"/>
        <v>2.4017584217921197E-4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5.6345372107456902E-3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2.4017584217921197E-4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1565.1492252071362</v>
      </c>
      <c r="H54" s="21">
        <f t="shared" si="3"/>
        <v>0</v>
      </c>
      <c r="I54" s="21">
        <f t="shared" si="3"/>
        <v>0</v>
      </c>
      <c r="J54" s="21">
        <f t="shared" si="3"/>
        <v>0</v>
      </c>
      <c r="K54" s="21">
        <f t="shared" si="3"/>
        <v>0</v>
      </c>
      <c r="L54" s="21">
        <f t="shared" si="3"/>
        <v>0</v>
      </c>
      <c r="M54" s="21">
        <f t="shared" si="3"/>
        <v>66.715511716447764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0.17035813733331684</v>
      </c>
      <c r="C56" s="56">
        <f ca="1">'EF ele_warmte'!B22</f>
        <v>7.8529411764705875E-2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417.89484313030539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9911.2119547937691</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2248.4730726631792</v>
      </c>
      <c r="C6" s="1124"/>
      <c r="D6" s="1127"/>
      <c r="E6" s="1127"/>
      <c r="F6" s="1130"/>
      <c r="G6" s="1133"/>
      <c r="H6" s="1121"/>
      <c r="I6" s="1127"/>
      <c r="J6" s="1127"/>
      <c r="K6" s="1127"/>
      <c r="L6" s="1157"/>
      <c r="M6" s="559"/>
      <c r="N6" s="1169"/>
      <c r="O6" s="1170"/>
      <c r="Q6" s="557"/>
      <c r="R6" s="1154"/>
      <c r="S6" s="1154"/>
    </row>
    <row r="7" spans="1:19" s="547" customFormat="1">
      <c r="A7" s="560" t="s">
        <v>253</v>
      </c>
      <c r="B7" s="561">
        <f>N57</f>
        <v>2376</v>
      </c>
      <c r="C7" s="562">
        <f>B100</f>
        <v>0</v>
      </c>
      <c r="D7" s="563"/>
      <c r="E7" s="563">
        <f>E100</f>
        <v>698.82352941176475</v>
      </c>
      <c r="F7" s="564"/>
      <c r="G7" s="565"/>
      <c r="H7" s="563">
        <f>I100</f>
        <v>0</v>
      </c>
      <c r="I7" s="563">
        <f>G100+F100</f>
        <v>2096.4705882352941</v>
      </c>
      <c r="J7" s="563">
        <f>H100+D100+C100</f>
        <v>0</v>
      </c>
      <c r="K7" s="563"/>
      <c r="L7" s="566"/>
      <c r="M7" s="567">
        <f>C7*$C$11+D7*$D$11+E7*$E$11+F7*$F$11+G7*$G$11+H7*$H$11+I7*$I$11+J7*$J$11</f>
        <v>186.58588235294121</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14535.685027456948</v>
      </c>
      <c r="C9" s="578">
        <f t="shared" ref="C9:L9" si="0">SUM(C7:C8)</f>
        <v>0</v>
      </c>
      <c r="D9" s="578">
        <f t="shared" si="0"/>
        <v>0</v>
      </c>
      <c r="E9" s="578">
        <f t="shared" si="0"/>
        <v>698.82352941176475</v>
      </c>
      <c r="F9" s="578">
        <f t="shared" si="0"/>
        <v>0</v>
      </c>
      <c r="G9" s="578">
        <f t="shared" si="0"/>
        <v>0</v>
      </c>
      <c r="H9" s="578">
        <f t="shared" si="0"/>
        <v>0</v>
      </c>
      <c r="I9" s="578">
        <f t="shared" si="0"/>
        <v>2096.4705882352941</v>
      </c>
      <c r="J9" s="578">
        <f t="shared" si="0"/>
        <v>0</v>
      </c>
      <c r="K9" s="578">
        <f t="shared" si="0"/>
        <v>0</v>
      </c>
      <c r="L9" s="578">
        <f t="shared" si="0"/>
        <v>0</v>
      </c>
      <c r="M9" s="579">
        <f>SUM(M4:M8)</f>
        <v>186.58588235294121</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2673</v>
      </c>
      <c r="C16" s="594">
        <f>B101</f>
        <v>0</v>
      </c>
      <c r="D16" s="595"/>
      <c r="E16" s="595">
        <f>E101</f>
        <v>786.17647058823525</v>
      </c>
      <c r="F16" s="596"/>
      <c r="G16" s="597"/>
      <c r="H16" s="594">
        <f>I101</f>
        <v>0</v>
      </c>
      <c r="I16" s="595">
        <f>G101+F101</f>
        <v>2358.5294117647059</v>
      </c>
      <c r="J16" s="595">
        <f>H101+D101+C101</f>
        <v>0</v>
      </c>
      <c r="K16" s="595"/>
      <c r="L16" s="598"/>
      <c r="M16" s="599">
        <f>C16*$C$21+E16*$E$21+H16*$H$21+I16*$I$21+J16*$J$21+D16*$D$21+F16*$F$21+G16*$G$21+K16*$K$21+L16*$L$21</f>
        <v>209.90911764705882</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2673</v>
      </c>
      <c r="C19" s="577">
        <f>SUM(C16:C18)</f>
        <v>0</v>
      </c>
      <c r="D19" s="577">
        <f t="shared" ref="D19:M19" si="1">SUM(D16:D18)</f>
        <v>0</v>
      </c>
      <c r="E19" s="577">
        <f t="shared" si="1"/>
        <v>786.17647058823525</v>
      </c>
      <c r="F19" s="577">
        <f t="shared" si="1"/>
        <v>0</v>
      </c>
      <c r="G19" s="577">
        <f t="shared" si="1"/>
        <v>0</v>
      </c>
      <c r="H19" s="577">
        <f t="shared" si="1"/>
        <v>0</v>
      </c>
      <c r="I19" s="577">
        <f t="shared" si="1"/>
        <v>2358.5294117647059</v>
      </c>
      <c r="J19" s="577">
        <f t="shared" si="1"/>
        <v>0</v>
      </c>
      <c r="K19" s="577">
        <f t="shared" si="1"/>
        <v>0</v>
      </c>
      <c r="L19" s="577">
        <f t="shared" si="1"/>
        <v>0</v>
      </c>
      <c r="M19" s="604">
        <f t="shared" si="1"/>
        <v>209.90911764705882</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38.25">
      <c r="A27" s="608"/>
      <c r="B27" s="839">
        <v>46013</v>
      </c>
      <c r="C27" s="839">
        <v>9150</v>
      </c>
      <c r="D27" s="656" t="s">
        <v>894</v>
      </c>
      <c r="E27" s="655" t="s">
        <v>895</v>
      </c>
      <c r="F27" s="655" t="s">
        <v>896</v>
      </c>
      <c r="G27" s="655" t="s">
        <v>897</v>
      </c>
      <c r="H27" s="655" t="s">
        <v>898</v>
      </c>
      <c r="I27" s="655" t="s">
        <v>895</v>
      </c>
      <c r="J27" s="838">
        <v>40142</v>
      </c>
      <c r="K27" s="838">
        <v>40142</v>
      </c>
      <c r="L27" s="655" t="s">
        <v>899</v>
      </c>
      <c r="M27" s="655">
        <v>528</v>
      </c>
      <c r="N27" s="655">
        <v>2376</v>
      </c>
      <c r="O27" s="655">
        <v>2673</v>
      </c>
      <c r="P27" s="655">
        <v>0</v>
      </c>
      <c r="Q27" s="655">
        <v>0</v>
      </c>
      <c r="R27" s="655">
        <v>0</v>
      </c>
      <c r="S27" s="655">
        <v>1485</v>
      </c>
      <c r="T27" s="655">
        <v>4455</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528</v>
      </c>
      <c r="N57" s="613">
        <f>SUM(N27:N56)</f>
        <v>2376</v>
      </c>
      <c r="O57" s="613">
        <f t="shared" ref="O57:W57" si="2">SUM(O27:O56)</f>
        <v>2673</v>
      </c>
      <c r="P57" s="613">
        <f t="shared" si="2"/>
        <v>0</v>
      </c>
      <c r="Q57" s="613">
        <f t="shared" si="2"/>
        <v>0</v>
      </c>
      <c r="R57" s="613">
        <f t="shared" si="2"/>
        <v>0</v>
      </c>
      <c r="S57" s="613">
        <f t="shared" si="2"/>
        <v>1485</v>
      </c>
      <c r="T57" s="613">
        <f t="shared" si="2"/>
        <v>4455</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528</v>
      </c>
      <c r="N60" s="618">
        <f t="shared" ref="N60:W60" si="4">SUMIF($Z$27:$Z$56,"landbouw",N27:N56)</f>
        <v>2376</v>
      </c>
      <c r="O60" s="618">
        <f t="shared" si="4"/>
        <v>2673</v>
      </c>
      <c r="P60" s="618">
        <f t="shared" si="4"/>
        <v>0</v>
      </c>
      <c r="Q60" s="618">
        <f t="shared" si="4"/>
        <v>0</v>
      </c>
      <c r="R60" s="618">
        <f t="shared" si="4"/>
        <v>0</v>
      </c>
      <c r="S60" s="618">
        <f t="shared" si="4"/>
        <v>1485</v>
      </c>
      <c r="T60" s="618">
        <f t="shared" si="4"/>
        <v>4455</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0.52941176470588236</v>
      </c>
      <c r="C97" s="638">
        <f>IF(ISERROR(N57/(O57+N57)),0,N57/(N57+O57))</f>
        <v>0.47058823529411764</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698.82352941176475</v>
      </c>
      <c r="F100" s="647">
        <f t="shared" si="9"/>
        <v>2096.4705882352941</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786.17647058823525</v>
      </c>
      <c r="F101" s="650">
        <f t="shared" si="10"/>
        <v>2358.5294117647059</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15379.29934681952</v>
      </c>
      <c r="D10" s="702">
        <f ca="1">tertiair!C16</f>
        <v>0</v>
      </c>
      <c r="E10" s="702">
        <f ca="1">tertiair!D16</f>
        <v>16020.741652621244</v>
      </c>
      <c r="F10" s="702">
        <f>tertiair!E16</f>
        <v>288.36920498929476</v>
      </c>
      <c r="G10" s="702">
        <f ca="1">tertiair!F16</f>
        <v>2567.3958616290383</v>
      </c>
      <c r="H10" s="702">
        <f>tertiair!G16</f>
        <v>0</v>
      </c>
      <c r="I10" s="702">
        <f>tertiair!H16</f>
        <v>0</v>
      </c>
      <c r="J10" s="702">
        <f>tertiair!I16</f>
        <v>0</v>
      </c>
      <c r="K10" s="702">
        <f>tertiair!J16</f>
        <v>0</v>
      </c>
      <c r="L10" s="702">
        <f>tertiair!K16</f>
        <v>0</v>
      </c>
      <c r="M10" s="702">
        <f ca="1">tertiair!L16</f>
        <v>0</v>
      </c>
      <c r="N10" s="702">
        <f>tertiair!M16</f>
        <v>0</v>
      </c>
      <c r="O10" s="702">
        <f ca="1">tertiair!N16</f>
        <v>208.18529473923519</v>
      </c>
      <c r="P10" s="702">
        <f>tertiair!O16</f>
        <v>1.5633333333333335</v>
      </c>
      <c r="Q10" s="703">
        <f>tertiair!P16</f>
        <v>0</v>
      </c>
      <c r="R10" s="705">
        <f ca="1">SUM(C10:Q10)</f>
        <v>34465.554694131664</v>
      </c>
      <c r="S10" s="67"/>
    </row>
    <row r="11" spans="1:19" s="457" customFormat="1">
      <c r="A11" s="858" t="s">
        <v>226</v>
      </c>
      <c r="B11" s="863"/>
      <c r="C11" s="702">
        <f>huishoudens!B8</f>
        <v>31827.962429203391</v>
      </c>
      <c r="D11" s="702">
        <f>huishoudens!C8</f>
        <v>0</v>
      </c>
      <c r="E11" s="702">
        <f>huishoudens!D8</f>
        <v>75454.787885805737</v>
      </c>
      <c r="F11" s="702">
        <f>huishoudens!E8</f>
        <v>1030.9981467134003</v>
      </c>
      <c r="G11" s="702">
        <f>huishoudens!F8</f>
        <v>0</v>
      </c>
      <c r="H11" s="702">
        <f>huishoudens!G8</f>
        <v>0</v>
      </c>
      <c r="I11" s="702">
        <f>huishoudens!H8</f>
        <v>0</v>
      </c>
      <c r="J11" s="702">
        <f>huishoudens!I8</f>
        <v>0</v>
      </c>
      <c r="K11" s="702">
        <f>huishoudens!J8</f>
        <v>1712.5570869450062</v>
      </c>
      <c r="L11" s="702">
        <f>huishoudens!K8</f>
        <v>0</v>
      </c>
      <c r="M11" s="702">
        <f>huishoudens!L8</f>
        <v>0</v>
      </c>
      <c r="N11" s="702">
        <f>huishoudens!M8</f>
        <v>0</v>
      </c>
      <c r="O11" s="702">
        <f>huishoudens!N8</f>
        <v>13821.377568315407</v>
      </c>
      <c r="P11" s="702">
        <f>huishoudens!O8</f>
        <v>176.65666666666667</v>
      </c>
      <c r="Q11" s="703">
        <f>huishoudens!P8</f>
        <v>114.4</v>
      </c>
      <c r="R11" s="705">
        <f>SUM(C11:Q11)</f>
        <v>124138.73978364959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10361.363820649964</v>
      </c>
      <c r="D13" s="702">
        <f>industrie!C18</f>
        <v>0</v>
      </c>
      <c r="E13" s="702">
        <f>industrie!D18</f>
        <v>8988.8698199016035</v>
      </c>
      <c r="F13" s="702">
        <f>industrie!E18</f>
        <v>103.51385325064356</v>
      </c>
      <c r="G13" s="702">
        <f>industrie!F18</f>
        <v>2517.7508407398009</v>
      </c>
      <c r="H13" s="702">
        <f>industrie!G18</f>
        <v>0</v>
      </c>
      <c r="I13" s="702">
        <f>industrie!H18</f>
        <v>0</v>
      </c>
      <c r="J13" s="702">
        <f>industrie!I18</f>
        <v>0</v>
      </c>
      <c r="K13" s="702">
        <f>industrie!J18</f>
        <v>51.025294105276089</v>
      </c>
      <c r="L13" s="702">
        <f>industrie!K18</f>
        <v>0</v>
      </c>
      <c r="M13" s="702">
        <f>industrie!L18</f>
        <v>0</v>
      </c>
      <c r="N13" s="702">
        <f>industrie!M18</f>
        <v>0</v>
      </c>
      <c r="O13" s="702">
        <f>industrie!N18</f>
        <v>228.63061756189163</v>
      </c>
      <c r="P13" s="702">
        <f>industrie!O18</f>
        <v>0</v>
      </c>
      <c r="Q13" s="703">
        <f>industrie!P18</f>
        <v>0</v>
      </c>
      <c r="R13" s="705">
        <f>SUM(C13:Q13)</f>
        <v>22251.154246209178</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57568.625596672879</v>
      </c>
      <c r="D15" s="707">
        <f t="shared" ref="D15:Q15" ca="1" si="0">SUM(D9:D14)</f>
        <v>0</v>
      </c>
      <c r="E15" s="707">
        <f t="shared" ca="1" si="0"/>
        <v>100464.39935832859</v>
      </c>
      <c r="F15" s="707">
        <f t="shared" si="0"/>
        <v>1422.8812049533385</v>
      </c>
      <c r="G15" s="707">
        <f t="shared" ca="1" si="0"/>
        <v>5085.1467023688392</v>
      </c>
      <c r="H15" s="707">
        <f t="shared" si="0"/>
        <v>0</v>
      </c>
      <c r="I15" s="707">
        <f t="shared" si="0"/>
        <v>0</v>
      </c>
      <c r="J15" s="707">
        <f t="shared" si="0"/>
        <v>0</v>
      </c>
      <c r="K15" s="707">
        <f t="shared" si="0"/>
        <v>1763.5823810502823</v>
      </c>
      <c r="L15" s="707">
        <f t="shared" si="0"/>
        <v>0</v>
      </c>
      <c r="M15" s="707">
        <f t="shared" ca="1" si="0"/>
        <v>0</v>
      </c>
      <c r="N15" s="707">
        <f t="shared" si="0"/>
        <v>0</v>
      </c>
      <c r="O15" s="707">
        <f t="shared" ca="1" si="0"/>
        <v>14258.193480616534</v>
      </c>
      <c r="P15" s="707">
        <f t="shared" si="0"/>
        <v>178.22</v>
      </c>
      <c r="Q15" s="708">
        <f t="shared" si="0"/>
        <v>114.4</v>
      </c>
      <c r="R15" s="709">
        <f ca="1">SUM(R9:R14)</f>
        <v>180855.44872399044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1565.1492252071362</v>
      </c>
      <c r="I18" s="702">
        <f>transport!H54</f>
        <v>0</v>
      </c>
      <c r="J18" s="702">
        <f>transport!I54</f>
        <v>0</v>
      </c>
      <c r="K18" s="702">
        <f>transport!J54</f>
        <v>0</v>
      </c>
      <c r="L18" s="702">
        <f>transport!K54</f>
        <v>0</v>
      </c>
      <c r="M18" s="702">
        <f>transport!L54</f>
        <v>0</v>
      </c>
      <c r="N18" s="702">
        <f>transport!M54</f>
        <v>66.715511716447764</v>
      </c>
      <c r="O18" s="702">
        <f>transport!N54</f>
        <v>0</v>
      </c>
      <c r="P18" s="702">
        <f>transport!O54</f>
        <v>0</v>
      </c>
      <c r="Q18" s="703">
        <f>transport!P54</f>
        <v>0</v>
      </c>
      <c r="R18" s="705">
        <f>SUM(C18:Q18)</f>
        <v>1631.8647369235839</v>
      </c>
      <c r="S18" s="67"/>
    </row>
    <row r="19" spans="1:19" s="457" customFormat="1" ht="15" thickBot="1">
      <c r="A19" s="858" t="s">
        <v>308</v>
      </c>
      <c r="B19" s="863"/>
      <c r="C19" s="711">
        <f>transport!B14</f>
        <v>1.0226331252615792</v>
      </c>
      <c r="D19" s="711">
        <f>transport!C14</f>
        <v>0</v>
      </c>
      <c r="E19" s="711">
        <f>transport!D14</f>
        <v>4.9046249586400368</v>
      </c>
      <c r="F19" s="711">
        <f>transport!E14</f>
        <v>580.89501560422582</v>
      </c>
      <c r="G19" s="711">
        <f>transport!F14</f>
        <v>0</v>
      </c>
      <c r="H19" s="711">
        <f>transport!G14</f>
        <v>132605.96767430316</v>
      </c>
      <c r="I19" s="711">
        <f>transport!H14</f>
        <v>16970.93115591021</v>
      </c>
      <c r="J19" s="711">
        <f>transport!I14</f>
        <v>0</v>
      </c>
      <c r="K19" s="711">
        <f>transport!J14</f>
        <v>0</v>
      </c>
      <c r="L19" s="711">
        <f>transport!K14</f>
        <v>0</v>
      </c>
      <c r="M19" s="711">
        <f>transport!L14</f>
        <v>0</v>
      </c>
      <c r="N19" s="711">
        <f>transport!M14</f>
        <v>6511.3907446863122</v>
      </c>
      <c r="O19" s="711">
        <f>transport!N14</f>
        <v>0</v>
      </c>
      <c r="P19" s="711">
        <f>transport!O14</f>
        <v>0</v>
      </c>
      <c r="Q19" s="712">
        <f>transport!P14</f>
        <v>0</v>
      </c>
      <c r="R19" s="713">
        <f>SUM(C19:Q19)</f>
        <v>156675.11184858781</v>
      </c>
      <c r="S19" s="67"/>
    </row>
    <row r="20" spans="1:19" s="457" customFormat="1" ht="15.75" thickBot="1">
      <c r="A20" s="714" t="s">
        <v>231</v>
      </c>
      <c r="B20" s="866"/>
      <c r="C20" s="861">
        <f>SUM(C17:C19)</f>
        <v>1.0226331252615792</v>
      </c>
      <c r="D20" s="715">
        <f t="shared" ref="D20:R20" si="1">SUM(D17:D19)</f>
        <v>0</v>
      </c>
      <c r="E20" s="715">
        <f t="shared" si="1"/>
        <v>4.9046249586400368</v>
      </c>
      <c r="F20" s="715">
        <f t="shared" si="1"/>
        <v>580.89501560422582</v>
      </c>
      <c r="G20" s="715">
        <f t="shared" si="1"/>
        <v>0</v>
      </c>
      <c r="H20" s="715">
        <f t="shared" si="1"/>
        <v>134171.11689951029</v>
      </c>
      <c r="I20" s="715">
        <f t="shared" si="1"/>
        <v>16970.93115591021</v>
      </c>
      <c r="J20" s="715">
        <f t="shared" si="1"/>
        <v>0</v>
      </c>
      <c r="K20" s="715">
        <f t="shared" si="1"/>
        <v>0</v>
      </c>
      <c r="L20" s="715">
        <f t="shared" si="1"/>
        <v>0</v>
      </c>
      <c r="M20" s="715">
        <f t="shared" si="1"/>
        <v>0</v>
      </c>
      <c r="N20" s="715">
        <f t="shared" si="1"/>
        <v>6578.1062564027598</v>
      </c>
      <c r="O20" s="715">
        <f t="shared" si="1"/>
        <v>0</v>
      </c>
      <c r="P20" s="715">
        <f t="shared" si="1"/>
        <v>0</v>
      </c>
      <c r="Q20" s="716">
        <f t="shared" si="1"/>
        <v>0</v>
      </c>
      <c r="R20" s="717">
        <f t="shared" si="1"/>
        <v>158306.97658551138</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2179.348931510669</v>
      </c>
      <c r="D22" s="711">
        <f>+landbouw!C8</f>
        <v>2673</v>
      </c>
      <c r="E22" s="711">
        <f>+landbouw!D8</f>
        <v>2796.4992085617532</v>
      </c>
      <c r="F22" s="711">
        <f>+landbouw!E8</f>
        <v>22.822613820583104</v>
      </c>
      <c r="G22" s="711">
        <f>+landbouw!F8</f>
        <v>9708.4831174760493</v>
      </c>
      <c r="H22" s="711">
        <f>+landbouw!G8</f>
        <v>0</v>
      </c>
      <c r="I22" s="711">
        <f>+landbouw!H8</f>
        <v>0</v>
      </c>
      <c r="J22" s="711">
        <f>+landbouw!I8</f>
        <v>0</v>
      </c>
      <c r="K22" s="711">
        <f>+landbouw!J8</f>
        <v>194.63539342161653</v>
      </c>
      <c r="L22" s="711">
        <f>+landbouw!K8</f>
        <v>0</v>
      </c>
      <c r="M22" s="711">
        <f>+landbouw!L8</f>
        <v>0</v>
      </c>
      <c r="N22" s="711">
        <f>+landbouw!M8</f>
        <v>0</v>
      </c>
      <c r="O22" s="711">
        <f>+landbouw!N8</f>
        <v>0</v>
      </c>
      <c r="P22" s="711">
        <f>+landbouw!O8</f>
        <v>0</v>
      </c>
      <c r="Q22" s="712">
        <f>+landbouw!P8</f>
        <v>0</v>
      </c>
      <c r="R22" s="713">
        <f>SUM(C22:Q22)</f>
        <v>17574.78926479067</v>
      </c>
      <c r="S22" s="67"/>
    </row>
    <row r="23" spans="1:19" s="457" customFormat="1" ht="17.25" thickTop="1" thickBot="1">
      <c r="A23" s="718" t="s">
        <v>116</v>
      </c>
      <c r="B23" s="852"/>
      <c r="C23" s="719">
        <f ca="1">C20+C15+C22</f>
        <v>59748.997161308813</v>
      </c>
      <c r="D23" s="719">
        <f t="shared" ref="D23:Q23" ca="1" si="2">D20+D15+D22</f>
        <v>2673</v>
      </c>
      <c r="E23" s="719">
        <f t="shared" ca="1" si="2"/>
        <v>103265.80319184899</v>
      </c>
      <c r="F23" s="719">
        <f t="shared" si="2"/>
        <v>2026.5988343781473</v>
      </c>
      <c r="G23" s="719">
        <f t="shared" ca="1" si="2"/>
        <v>14793.629819844889</v>
      </c>
      <c r="H23" s="719">
        <f t="shared" si="2"/>
        <v>134171.11689951029</v>
      </c>
      <c r="I23" s="719">
        <f t="shared" si="2"/>
        <v>16970.93115591021</v>
      </c>
      <c r="J23" s="719">
        <f t="shared" si="2"/>
        <v>0</v>
      </c>
      <c r="K23" s="719">
        <f t="shared" si="2"/>
        <v>1958.2177744718988</v>
      </c>
      <c r="L23" s="719">
        <f t="shared" si="2"/>
        <v>0</v>
      </c>
      <c r="M23" s="719">
        <f t="shared" ca="1" si="2"/>
        <v>0</v>
      </c>
      <c r="N23" s="719">
        <f t="shared" si="2"/>
        <v>6578.1062564027598</v>
      </c>
      <c r="O23" s="719">
        <f t="shared" ca="1" si="2"/>
        <v>14258.193480616534</v>
      </c>
      <c r="P23" s="719">
        <f t="shared" si="2"/>
        <v>178.22</v>
      </c>
      <c r="Q23" s="720">
        <f t="shared" si="2"/>
        <v>114.4</v>
      </c>
      <c r="R23" s="721">
        <f ca="1">R20+R15+R22</f>
        <v>356737.21457429248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2619.9887902156697</v>
      </c>
      <c r="D36" s="702">
        <f ca="1">tertiair!C20</f>
        <v>0</v>
      </c>
      <c r="E36" s="702">
        <f ca="1">tertiair!D20</f>
        <v>3236.1898138294914</v>
      </c>
      <c r="F36" s="702">
        <f>tertiair!E20</f>
        <v>65.459809532569906</v>
      </c>
      <c r="G36" s="702">
        <f ca="1">tertiair!F20</f>
        <v>685.49469505495324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6607.1331086326836</v>
      </c>
    </row>
    <row r="37" spans="1:18">
      <c r="A37" s="873" t="s">
        <v>226</v>
      </c>
      <c r="B37" s="880"/>
      <c r="C37" s="702">
        <f ca="1">huishoudens!B12</f>
        <v>5422.1523945538802</v>
      </c>
      <c r="D37" s="702">
        <f ca="1">huishoudens!C12</f>
        <v>0</v>
      </c>
      <c r="E37" s="702">
        <f>huishoudens!D12</f>
        <v>15241.86715293276</v>
      </c>
      <c r="F37" s="702">
        <f>huishoudens!E12</f>
        <v>234.03657930394186</v>
      </c>
      <c r="G37" s="702">
        <f>huishoudens!F12</f>
        <v>0</v>
      </c>
      <c r="H37" s="702">
        <f>huishoudens!G12</f>
        <v>0</v>
      </c>
      <c r="I37" s="702">
        <f>huishoudens!H12</f>
        <v>0</v>
      </c>
      <c r="J37" s="702">
        <f>huishoudens!I12</f>
        <v>0</v>
      </c>
      <c r="K37" s="702">
        <f>huishoudens!J12</f>
        <v>606.24520877853217</v>
      </c>
      <c r="L37" s="702">
        <f>huishoudens!K12</f>
        <v>0</v>
      </c>
      <c r="M37" s="702">
        <f>huishoudens!L12</f>
        <v>0</v>
      </c>
      <c r="N37" s="702">
        <f>huishoudens!M12</f>
        <v>0</v>
      </c>
      <c r="O37" s="702">
        <f>huishoudens!N12</f>
        <v>0</v>
      </c>
      <c r="P37" s="702">
        <f>huishoudens!O12</f>
        <v>0</v>
      </c>
      <c r="Q37" s="812">
        <f>huishoudens!P12</f>
        <v>0</v>
      </c>
      <c r="R37" s="905">
        <f ca="1">SUM(C37:Q37)</f>
        <v>21504.301335569115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1765.1426407187469</v>
      </c>
      <c r="D39" s="702">
        <f ca="1">industrie!C22</f>
        <v>0</v>
      </c>
      <c r="E39" s="702">
        <f>industrie!D22</f>
        <v>1815.7517036201241</v>
      </c>
      <c r="F39" s="702">
        <f>industrie!E22</f>
        <v>23.497644687896091</v>
      </c>
      <c r="G39" s="702">
        <f>industrie!F22</f>
        <v>672.23947447752687</v>
      </c>
      <c r="H39" s="702">
        <f>industrie!G22</f>
        <v>0</v>
      </c>
      <c r="I39" s="702">
        <f>industrie!H22</f>
        <v>0</v>
      </c>
      <c r="J39" s="702">
        <f>industrie!I22</f>
        <v>0</v>
      </c>
      <c r="K39" s="702">
        <f>industrie!J22</f>
        <v>18.062954113267736</v>
      </c>
      <c r="L39" s="702">
        <f>industrie!K22</f>
        <v>0</v>
      </c>
      <c r="M39" s="702">
        <f>industrie!L22</f>
        <v>0</v>
      </c>
      <c r="N39" s="702">
        <f>industrie!M22</f>
        <v>0</v>
      </c>
      <c r="O39" s="702">
        <f>industrie!N22</f>
        <v>0</v>
      </c>
      <c r="P39" s="702">
        <f>industrie!O22</f>
        <v>0</v>
      </c>
      <c r="Q39" s="812">
        <f>industrie!P22</f>
        <v>0</v>
      </c>
      <c r="R39" s="906">
        <f ca="1">SUM(C39:Q39)</f>
        <v>4294.6944176175612</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9807.2838254882972</v>
      </c>
      <c r="D41" s="747">
        <f t="shared" ref="D41:R41" ca="1" si="4">SUM(D35:D40)</f>
        <v>0</v>
      </c>
      <c r="E41" s="747">
        <f t="shared" ca="1" si="4"/>
        <v>20293.808670382376</v>
      </c>
      <c r="F41" s="747">
        <f t="shared" si="4"/>
        <v>322.99403352440783</v>
      </c>
      <c r="G41" s="747">
        <f t="shared" ca="1" si="4"/>
        <v>1357.7341695324801</v>
      </c>
      <c r="H41" s="747">
        <f t="shared" si="4"/>
        <v>0</v>
      </c>
      <c r="I41" s="747">
        <f t="shared" si="4"/>
        <v>0</v>
      </c>
      <c r="J41" s="747">
        <f t="shared" si="4"/>
        <v>0</v>
      </c>
      <c r="K41" s="747">
        <f t="shared" si="4"/>
        <v>624.30816289179995</v>
      </c>
      <c r="L41" s="747">
        <f t="shared" si="4"/>
        <v>0</v>
      </c>
      <c r="M41" s="747">
        <f t="shared" ca="1" si="4"/>
        <v>0</v>
      </c>
      <c r="N41" s="747">
        <f t="shared" si="4"/>
        <v>0</v>
      </c>
      <c r="O41" s="747">
        <f t="shared" ca="1" si="4"/>
        <v>0</v>
      </c>
      <c r="P41" s="747">
        <f t="shared" si="4"/>
        <v>0</v>
      </c>
      <c r="Q41" s="748">
        <f t="shared" si="4"/>
        <v>0</v>
      </c>
      <c r="R41" s="749">
        <f t="shared" ca="1" si="4"/>
        <v>32406.128861819358</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417.89484313030539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417.89484313030539</v>
      </c>
    </row>
    <row r="45" spans="1:18" ht="15" thickBot="1">
      <c r="A45" s="876" t="s">
        <v>308</v>
      </c>
      <c r="B45" s="886"/>
      <c r="C45" s="711">
        <f ca="1">transport!B18</f>
        <v>0.17421387439491112</v>
      </c>
      <c r="D45" s="711">
        <f>transport!C18</f>
        <v>0</v>
      </c>
      <c r="E45" s="711">
        <f>transport!D18</f>
        <v>0.99073424164528745</v>
      </c>
      <c r="F45" s="711">
        <f>transport!E18</f>
        <v>131.86316854215926</v>
      </c>
      <c r="G45" s="711">
        <f>transport!F18</f>
        <v>0</v>
      </c>
      <c r="H45" s="711">
        <f>transport!G18</f>
        <v>35405.793369038947</v>
      </c>
      <c r="I45" s="711">
        <f>transport!H18</f>
        <v>4225.7618578216425</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39764.583343518789</v>
      </c>
    </row>
    <row r="46" spans="1:18" ht="15.75" thickBot="1">
      <c r="A46" s="874" t="s">
        <v>231</v>
      </c>
      <c r="B46" s="887"/>
      <c r="C46" s="747">
        <f t="shared" ref="C46:R46" ca="1" si="5">SUM(C43:C45)</f>
        <v>0.17421387439491112</v>
      </c>
      <c r="D46" s="747">
        <f t="shared" ca="1" si="5"/>
        <v>0</v>
      </c>
      <c r="E46" s="747">
        <f t="shared" si="5"/>
        <v>0.99073424164528745</v>
      </c>
      <c r="F46" s="747">
        <f t="shared" si="5"/>
        <v>131.86316854215926</v>
      </c>
      <c r="G46" s="747">
        <f t="shared" si="5"/>
        <v>0</v>
      </c>
      <c r="H46" s="747">
        <f t="shared" si="5"/>
        <v>35823.688212169254</v>
      </c>
      <c r="I46" s="747">
        <f t="shared" si="5"/>
        <v>4225.7618578216425</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40182.478186649096</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371.26982457151189</v>
      </c>
      <c r="D48" s="702">
        <f ca="1">+landbouw!C12</f>
        <v>209.90911764705879</v>
      </c>
      <c r="E48" s="702">
        <f>+landbouw!D12</f>
        <v>564.89284012947417</v>
      </c>
      <c r="F48" s="702">
        <f>+landbouw!E12</f>
        <v>5.1807333372723647</v>
      </c>
      <c r="G48" s="702">
        <f>+landbouw!F12</f>
        <v>2592.1649923661053</v>
      </c>
      <c r="H48" s="702">
        <f>+landbouw!G12</f>
        <v>0</v>
      </c>
      <c r="I48" s="702">
        <f>+landbouw!H12</f>
        <v>0</v>
      </c>
      <c r="J48" s="702">
        <f>+landbouw!I12</f>
        <v>0</v>
      </c>
      <c r="K48" s="702">
        <f>+landbouw!J12</f>
        <v>68.900929271252252</v>
      </c>
      <c r="L48" s="702">
        <f>+landbouw!K12</f>
        <v>0</v>
      </c>
      <c r="M48" s="702">
        <f>+landbouw!L12</f>
        <v>0</v>
      </c>
      <c r="N48" s="702">
        <f>+landbouw!M12</f>
        <v>0</v>
      </c>
      <c r="O48" s="702">
        <f>+landbouw!N12</f>
        <v>0</v>
      </c>
      <c r="P48" s="702">
        <f>+landbouw!O12</f>
        <v>0</v>
      </c>
      <c r="Q48" s="703">
        <f>+landbouw!P12</f>
        <v>0</v>
      </c>
      <c r="R48" s="745">
        <f ca="1">SUM(C48:Q48)</f>
        <v>3812.3184373226745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10178.727863934204</v>
      </c>
      <c r="D53" s="757">
        <f t="shared" ref="D53:Q53" ca="1" si="6">D41+D46+D48</f>
        <v>209.90911764705879</v>
      </c>
      <c r="E53" s="757">
        <f t="shared" ca="1" si="6"/>
        <v>20859.692244753493</v>
      </c>
      <c r="F53" s="757">
        <f t="shared" si="6"/>
        <v>460.03793540383947</v>
      </c>
      <c r="G53" s="757">
        <f t="shared" ca="1" si="6"/>
        <v>3949.8991618985856</v>
      </c>
      <c r="H53" s="757">
        <f t="shared" si="6"/>
        <v>35823.688212169254</v>
      </c>
      <c r="I53" s="757">
        <f t="shared" si="6"/>
        <v>4225.7618578216425</v>
      </c>
      <c r="J53" s="757">
        <f t="shared" si="6"/>
        <v>0</v>
      </c>
      <c r="K53" s="757">
        <f t="shared" si="6"/>
        <v>693.20909216305222</v>
      </c>
      <c r="L53" s="757">
        <f t="shared" si="6"/>
        <v>0</v>
      </c>
      <c r="M53" s="757">
        <f t="shared" ca="1" si="6"/>
        <v>0</v>
      </c>
      <c r="N53" s="757">
        <f t="shared" si="6"/>
        <v>0</v>
      </c>
      <c r="O53" s="757">
        <f t="shared" ca="1" si="6"/>
        <v>0</v>
      </c>
      <c r="P53" s="757">
        <f>P41+P46+P48</f>
        <v>0</v>
      </c>
      <c r="Q53" s="758">
        <f t="shared" si="6"/>
        <v>0</v>
      </c>
      <c r="R53" s="759">
        <f ca="1">R41+R46+R48</f>
        <v>76400.925485791129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0.17035813733331684</v>
      </c>
      <c r="D55" s="823">
        <f t="shared" ca="1" si="7"/>
        <v>7.8529411764705875E-2</v>
      </c>
      <c r="E55" s="823">
        <f t="shared" ca="1" si="7"/>
        <v>0.20199999999999999</v>
      </c>
      <c r="F55" s="823">
        <f t="shared" si="7"/>
        <v>0.22700000000000001</v>
      </c>
      <c r="G55" s="823">
        <f t="shared" ca="1" si="7"/>
        <v>0.26700000000000002</v>
      </c>
      <c r="H55" s="823">
        <f t="shared" si="7"/>
        <v>0.26700000000000007</v>
      </c>
      <c r="I55" s="823">
        <f t="shared" si="7"/>
        <v>0.24900000000000003</v>
      </c>
      <c r="J55" s="823">
        <f t="shared" si="7"/>
        <v>0</v>
      </c>
      <c r="K55" s="823">
        <f t="shared" si="7"/>
        <v>0.35400000000000004</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9911.2119547937691</v>
      </c>
      <c r="C64" s="779">
        <f>'lokale energieproductie'!B4</f>
        <v>9911.2119547937691</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2248.4730726631792</v>
      </c>
      <c r="C66" s="779">
        <f>'lokale energieproductie'!B6</f>
        <v>2248.4730726631792</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2376</v>
      </c>
      <c r="C67" s="778">
        <f>B67*IFERROR(SUM(J67:L67)/SUM(D67:M67),0)</f>
        <v>1782</v>
      </c>
      <c r="D67" s="810">
        <f>'lokale energieproductie'!C7</f>
        <v>0</v>
      </c>
      <c r="E67" s="811">
        <f>'lokale energieproductie'!D7</f>
        <v>0</v>
      </c>
      <c r="F67" s="811">
        <f>'lokale energieproductie'!E7</f>
        <v>698.82352941176475</v>
      </c>
      <c r="G67" s="811">
        <f>'lokale energieproductie'!F7</f>
        <v>0</v>
      </c>
      <c r="H67" s="811">
        <f>'lokale energieproductie'!G7</f>
        <v>0</v>
      </c>
      <c r="I67" s="811">
        <f>'lokale energieproductie'!H7</f>
        <v>0</v>
      </c>
      <c r="J67" s="811">
        <f>'lokale energieproductie'!I7</f>
        <v>2096.4705882352941</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186.58588235294121</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14535.685027456948</v>
      </c>
      <c r="C69" s="787">
        <f>SUM(C64:C68)</f>
        <v>13941.685027456948</v>
      </c>
      <c r="D69" s="788">
        <f t="shared" ref="D69:M69" si="8">SUM(D67:D68)</f>
        <v>0</v>
      </c>
      <c r="E69" s="788">
        <f t="shared" si="8"/>
        <v>0</v>
      </c>
      <c r="F69" s="788">
        <f t="shared" si="8"/>
        <v>698.82352941176475</v>
      </c>
      <c r="G69" s="788">
        <f t="shared" si="8"/>
        <v>0</v>
      </c>
      <c r="H69" s="788">
        <f t="shared" si="8"/>
        <v>0</v>
      </c>
      <c r="I69" s="788">
        <f t="shared" si="8"/>
        <v>0</v>
      </c>
      <c r="J69" s="788">
        <f t="shared" si="8"/>
        <v>2096.4705882352941</v>
      </c>
      <c r="K69" s="788">
        <f t="shared" si="8"/>
        <v>0</v>
      </c>
      <c r="L69" s="788">
        <f t="shared" si="8"/>
        <v>0</v>
      </c>
      <c r="M69" s="918">
        <f t="shared" si="8"/>
        <v>0</v>
      </c>
      <c r="N69" s="789">
        <v>0</v>
      </c>
      <c r="O69" s="789">
        <f>SUM(O67:O68)</f>
        <v>186.58588235294121</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2673</v>
      </c>
      <c r="C78" s="801">
        <f>B78*IFERROR(SUM(I78:L78)/SUM(D78:M78),0)</f>
        <v>2004.75</v>
      </c>
      <c r="D78" s="816">
        <f>'lokale energieproductie'!C16</f>
        <v>0</v>
      </c>
      <c r="E78" s="816">
        <f>'lokale energieproductie'!D16</f>
        <v>0</v>
      </c>
      <c r="F78" s="816">
        <f>'lokale energieproductie'!E16</f>
        <v>786.17647058823525</v>
      </c>
      <c r="G78" s="816">
        <f>'lokale energieproductie'!F16</f>
        <v>0</v>
      </c>
      <c r="H78" s="816">
        <f>'lokale energieproductie'!G16</f>
        <v>0</v>
      </c>
      <c r="I78" s="816">
        <f>'lokale energieproductie'!H16</f>
        <v>0</v>
      </c>
      <c r="J78" s="816">
        <f>'lokale energieproductie'!I16</f>
        <v>2358.5294117647059</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209.90911764705882</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2673</v>
      </c>
      <c r="C81" s="787">
        <f>SUM(C78:C80)</f>
        <v>2004.75</v>
      </c>
      <c r="D81" s="787">
        <f t="shared" ref="D81:P81" si="9">SUM(D78:D80)</f>
        <v>0</v>
      </c>
      <c r="E81" s="787">
        <f t="shared" si="9"/>
        <v>0</v>
      </c>
      <c r="F81" s="787">
        <f t="shared" si="9"/>
        <v>786.17647058823525</v>
      </c>
      <c r="G81" s="787">
        <f t="shared" si="9"/>
        <v>0</v>
      </c>
      <c r="H81" s="787">
        <f t="shared" si="9"/>
        <v>0</v>
      </c>
      <c r="I81" s="787">
        <f t="shared" si="9"/>
        <v>0</v>
      </c>
      <c r="J81" s="787">
        <f t="shared" si="9"/>
        <v>2358.5294117647059</v>
      </c>
      <c r="K81" s="787">
        <f t="shared" si="9"/>
        <v>0</v>
      </c>
      <c r="L81" s="787">
        <f t="shared" si="9"/>
        <v>0</v>
      </c>
      <c r="M81" s="787">
        <f t="shared" si="9"/>
        <v>0</v>
      </c>
      <c r="N81" s="787">
        <v>0</v>
      </c>
      <c r="O81" s="787">
        <f>SUM(O78:O80)</f>
        <v>209.90911764705882</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31827.962429203391</v>
      </c>
      <c r="C4" s="461">
        <f>huishoudens!C8</f>
        <v>0</v>
      </c>
      <c r="D4" s="461">
        <f>huishoudens!D8</f>
        <v>75454.787885805737</v>
      </c>
      <c r="E4" s="461">
        <f>huishoudens!E8</f>
        <v>1030.9981467134003</v>
      </c>
      <c r="F4" s="461">
        <f>huishoudens!F8</f>
        <v>0</v>
      </c>
      <c r="G4" s="461">
        <f>huishoudens!G8</f>
        <v>0</v>
      </c>
      <c r="H4" s="461">
        <f>huishoudens!H8</f>
        <v>0</v>
      </c>
      <c r="I4" s="461">
        <f>huishoudens!I8</f>
        <v>0</v>
      </c>
      <c r="J4" s="461">
        <f>huishoudens!J8</f>
        <v>1712.5570869450062</v>
      </c>
      <c r="K4" s="461">
        <f>huishoudens!K8</f>
        <v>0</v>
      </c>
      <c r="L4" s="461">
        <f>huishoudens!L8</f>
        <v>0</v>
      </c>
      <c r="M4" s="461">
        <f>huishoudens!M8</f>
        <v>0</v>
      </c>
      <c r="N4" s="461">
        <f>huishoudens!N8</f>
        <v>13821.377568315407</v>
      </c>
      <c r="O4" s="461">
        <f>huishoudens!O8</f>
        <v>176.65666666666667</v>
      </c>
      <c r="P4" s="462">
        <f>huishoudens!P8</f>
        <v>114.4</v>
      </c>
      <c r="Q4" s="463">
        <f>SUM(B4:P4)</f>
        <v>124138.73978364959</v>
      </c>
    </row>
    <row r="5" spans="1:17">
      <c r="A5" s="460" t="s">
        <v>156</v>
      </c>
      <c r="B5" s="461">
        <f ca="1">tertiair!B16</f>
        <v>14257.76434681952</v>
      </c>
      <c r="C5" s="461">
        <f ca="1">tertiair!C16</f>
        <v>0</v>
      </c>
      <c r="D5" s="461">
        <f ca="1">tertiair!D16</f>
        <v>16020.741652621244</v>
      </c>
      <c r="E5" s="461">
        <f>tertiair!E16</f>
        <v>288.36920498929476</v>
      </c>
      <c r="F5" s="461">
        <f ca="1">tertiair!F16</f>
        <v>2567.3958616290383</v>
      </c>
      <c r="G5" s="461">
        <f>tertiair!G16</f>
        <v>0</v>
      </c>
      <c r="H5" s="461">
        <f>tertiair!H16</f>
        <v>0</v>
      </c>
      <c r="I5" s="461">
        <f>tertiair!I16</f>
        <v>0</v>
      </c>
      <c r="J5" s="461">
        <f>tertiair!J16</f>
        <v>0</v>
      </c>
      <c r="K5" s="461">
        <f>tertiair!K16</f>
        <v>0</v>
      </c>
      <c r="L5" s="461">
        <f ca="1">tertiair!L16</f>
        <v>0</v>
      </c>
      <c r="M5" s="461">
        <f>tertiair!M16</f>
        <v>0</v>
      </c>
      <c r="N5" s="461">
        <f ca="1">tertiair!N16</f>
        <v>208.18529473923519</v>
      </c>
      <c r="O5" s="461">
        <f>tertiair!O16</f>
        <v>1.5633333333333335</v>
      </c>
      <c r="P5" s="462">
        <f>tertiair!P16</f>
        <v>0</v>
      </c>
      <c r="Q5" s="460">
        <f t="shared" ref="Q5:Q13" ca="1" si="0">SUM(B5:P5)</f>
        <v>33344.019694131661</v>
      </c>
    </row>
    <row r="6" spans="1:17">
      <c r="A6" s="460" t="s">
        <v>195</v>
      </c>
      <c r="B6" s="461">
        <f>'openbare verlichting'!B8</f>
        <v>1121.5350000000001</v>
      </c>
      <c r="C6" s="461"/>
      <c r="D6" s="461"/>
      <c r="E6" s="461"/>
      <c r="F6" s="461"/>
      <c r="G6" s="461"/>
      <c r="H6" s="461"/>
      <c r="I6" s="461"/>
      <c r="J6" s="461"/>
      <c r="K6" s="461"/>
      <c r="L6" s="461"/>
      <c r="M6" s="461"/>
      <c r="N6" s="461"/>
      <c r="O6" s="461"/>
      <c r="P6" s="462"/>
      <c r="Q6" s="460">
        <f t="shared" si="0"/>
        <v>1121.5350000000001</v>
      </c>
    </row>
    <row r="7" spans="1:17">
      <c r="A7" s="460" t="s">
        <v>112</v>
      </c>
      <c r="B7" s="461">
        <f>landbouw!B8</f>
        <v>2179.348931510669</v>
      </c>
      <c r="C7" s="461">
        <f>landbouw!C8</f>
        <v>2673</v>
      </c>
      <c r="D7" s="461">
        <f>landbouw!D8</f>
        <v>2796.4992085617532</v>
      </c>
      <c r="E7" s="461">
        <f>landbouw!E8</f>
        <v>22.822613820583104</v>
      </c>
      <c r="F7" s="461">
        <f>landbouw!F8</f>
        <v>9708.4831174760493</v>
      </c>
      <c r="G7" s="461">
        <f>landbouw!G8</f>
        <v>0</v>
      </c>
      <c r="H7" s="461">
        <f>landbouw!H8</f>
        <v>0</v>
      </c>
      <c r="I7" s="461">
        <f>landbouw!I8</f>
        <v>0</v>
      </c>
      <c r="J7" s="461">
        <f>landbouw!J8</f>
        <v>194.63539342161653</v>
      </c>
      <c r="K7" s="461">
        <f>landbouw!K8</f>
        <v>0</v>
      </c>
      <c r="L7" s="461">
        <f>landbouw!L8</f>
        <v>0</v>
      </c>
      <c r="M7" s="461">
        <f>landbouw!M8</f>
        <v>0</v>
      </c>
      <c r="N7" s="461">
        <f>landbouw!N8</f>
        <v>0</v>
      </c>
      <c r="O7" s="461">
        <f>landbouw!O8</f>
        <v>0</v>
      </c>
      <c r="P7" s="462">
        <f>landbouw!P8</f>
        <v>0</v>
      </c>
      <c r="Q7" s="460">
        <f t="shared" si="0"/>
        <v>17574.78926479067</v>
      </c>
    </row>
    <row r="8" spans="1:17">
      <c r="A8" s="460" t="s">
        <v>656</v>
      </c>
      <c r="B8" s="461">
        <f>industrie!B18</f>
        <v>10361.363820649964</v>
      </c>
      <c r="C8" s="461">
        <f>industrie!C18</f>
        <v>0</v>
      </c>
      <c r="D8" s="461">
        <f>industrie!D18</f>
        <v>8988.8698199016035</v>
      </c>
      <c r="E8" s="461">
        <f>industrie!E18</f>
        <v>103.51385325064356</v>
      </c>
      <c r="F8" s="461">
        <f>industrie!F18</f>
        <v>2517.7508407398009</v>
      </c>
      <c r="G8" s="461">
        <f>industrie!G18</f>
        <v>0</v>
      </c>
      <c r="H8" s="461">
        <f>industrie!H18</f>
        <v>0</v>
      </c>
      <c r="I8" s="461">
        <f>industrie!I18</f>
        <v>0</v>
      </c>
      <c r="J8" s="461">
        <f>industrie!J18</f>
        <v>51.025294105276089</v>
      </c>
      <c r="K8" s="461">
        <f>industrie!K18</f>
        <v>0</v>
      </c>
      <c r="L8" s="461">
        <f>industrie!L18</f>
        <v>0</v>
      </c>
      <c r="M8" s="461">
        <f>industrie!M18</f>
        <v>0</v>
      </c>
      <c r="N8" s="461">
        <f>industrie!N18</f>
        <v>228.63061756189163</v>
      </c>
      <c r="O8" s="461">
        <f>industrie!O18</f>
        <v>0</v>
      </c>
      <c r="P8" s="462">
        <f>industrie!P18</f>
        <v>0</v>
      </c>
      <c r="Q8" s="460">
        <f t="shared" si="0"/>
        <v>22251.154246209178</v>
      </c>
    </row>
    <row r="9" spans="1:17" s="466" customFormat="1">
      <c r="A9" s="464" t="s">
        <v>574</v>
      </c>
      <c r="B9" s="465">
        <f>transport!B14</f>
        <v>1.0226331252615792</v>
      </c>
      <c r="C9" s="465">
        <f>transport!C14</f>
        <v>0</v>
      </c>
      <c r="D9" s="465">
        <f>transport!D14</f>
        <v>4.9046249586400368</v>
      </c>
      <c r="E9" s="465">
        <f>transport!E14</f>
        <v>580.89501560422582</v>
      </c>
      <c r="F9" s="465">
        <f>transport!F14</f>
        <v>0</v>
      </c>
      <c r="G9" s="465">
        <f>transport!G14</f>
        <v>132605.96767430316</v>
      </c>
      <c r="H9" s="465">
        <f>transport!H14</f>
        <v>16970.93115591021</v>
      </c>
      <c r="I9" s="465">
        <f>transport!I14</f>
        <v>0</v>
      </c>
      <c r="J9" s="465">
        <f>transport!J14</f>
        <v>0</v>
      </c>
      <c r="K9" s="465">
        <f>transport!K14</f>
        <v>0</v>
      </c>
      <c r="L9" s="465">
        <f>transport!L14</f>
        <v>0</v>
      </c>
      <c r="M9" s="465">
        <f>transport!M14</f>
        <v>6511.3907446863122</v>
      </c>
      <c r="N9" s="465">
        <f>transport!N14</f>
        <v>0</v>
      </c>
      <c r="O9" s="465">
        <f>transport!O14</f>
        <v>0</v>
      </c>
      <c r="P9" s="465">
        <f>transport!P14</f>
        <v>0</v>
      </c>
      <c r="Q9" s="464">
        <f>SUM(B9:P9)</f>
        <v>156675.11184858781</v>
      </c>
    </row>
    <row r="10" spans="1:17">
      <c r="A10" s="460" t="s">
        <v>564</v>
      </c>
      <c r="B10" s="461">
        <f>transport!B54</f>
        <v>0</v>
      </c>
      <c r="C10" s="461">
        <f>transport!C54</f>
        <v>0</v>
      </c>
      <c r="D10" s="461">
        <f>transport!D54</f>
        <v>0</v>
      </c>
      <c r="E10" s="461">
        <f>transport!E54</f>
        <v>0</v>
      </c>
      <c r="F10" s="461">
        <f>transport!F54</f>
        <v>0</v>
      </c>
      <c r="G10" s="461">
        <f>transport!G54</f>
        <v>1565.1492252071362</v>
      </c>
      <c r="H10" s="461">
        <f>transport!H54</f>
        <v>0</v>
      </c>
      <c r="I10" s="461">
        <f>transport!I54</f>
        <v>0</v>
      </c>
      <c r="J10" s="461">
        <f>transport!J54</f>
        <v>0</v>
      </c>
      <c r="K10" s="461">
        <f>transport!K54</f>
        <v>0</v>
      </c>
      <c r="L10" s="461">
        <f>transport!L54</f>
        <v>0</v>
      </c>
      <c r="M10" s="461">
        <f>transport!M54</f>
        <v>66.715511716447764</v>
      </c>
      <c r="N10" s="461">
        <f>transport!N54</f>
        <v>0</v>
      </c>
      <c r="O10" s="461">
        <f>transport!O54</f>
        <v>0</v>
      </c>
      <c r="P10" s="462">
        <f>transport!P54</f>
        <v>0</v>
      </c>
      <c r="Q10" s="460">
        <f t="shared" si="0"/>
        <v>1631.8647369235839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59748.997161308813</v>
      </c>
      <c r="C14" s="471">
        <f t="shared" ref="C14:Q14" ca="1" si="1">SUM(C4:C13)</f>
        <v>2673</v>
      </c>
      <c r="D14" s="471">
        <f t="shared" ca="1" si="1"/>
        <v>103265.80319184899</v>
      </c>
      <c r="E14" s="471">
        <f t="shared" si="1"/>
        <v>2026.5988343781473</v>
      </c>
      <c r="F14" s="471">
        <f t="shared" ca="1" si="1"/>
        <v>14793.629819844889</v>
      </c>
      <c r="G14" s="471">
        <f t="shared" si="1"/>
        <v>134171.11689951029</v>
      </c>
      <c r="H14" s="471">
        <f t="shared" si="1"/>
        <v>16970.93115591021</v>
      </c>
      <c r="I14" s="471">
        <f t="shared" si="1"/>
        <v>0</v>
      </c>
      <c r="J14" s="471">
        <f t="shared" si="1"/>
        <v>1958.2177744718988</v>
      </c>
      <c r="K14" s="471">
        <f t="shared" si="1"/>
        <v>0</v>
      </c>
      <c r="L14" s="471">
        <f t="shared" ca="1" si="1"/>
        <v>0</v>
      </c>
      <c r="M14" s="471">
        <f t="shared" si="1"/>
        <v>6578.1062564027598</v>
      </c>
      <c r="N14" s="471">
        <f t="shared" ca="1" si="1"/>
        <v>14258.193480616534</v>
      </c>
      <c r="O14" s="471">
        <f t="shared" si="1"/>
        <v>178.22</v>
      </c>
      <c r="P14" s="472">
        <f t="shared" si="1"/>
        <v>114.4</v>
      </c>
      <c r="Q14" s="472">
        <f t="shared" ca="1" si="1"/>
        <v>356737.21457429253</v>
      </c>
    </row>
    <row r="16" spans="1:17">
      <c r="A16" s="474" t="s">
        <v>569</v>
      </c>
      <c r="B16" s="828">
        <f ca="1">huishoudens!B10</f>
        <v>0.17035813733331684</v>
      </c>
      <c r="C16" s="828">
        <f ca="1">huishoudens!C10</f>
        <v>7.8529411764705875E-2</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5422.1523945538802</v>
      </c>
      <c r="C21" s="461">
        <f t="shared" ref="C21:C30" ca="1" si="3">C4*$C$16</f>
        <v>0</v>
      </c>
      <c r="D21" s="461">
        <f t="shared" ref="D21:D30" si="4">D4*$D$16</f>
        <v>15241.86715293276</v>
      </c>
      <c r="E21" s="461">
        <f t="shared" ref="E21:E30" si="5">E4*$E$16</f>
        <v>234.03657930394186</v>
      </c>
      <c r="F21" s="461">
        <f t="shared" ref="F21:F30" si="6">F4*$F$16</f>
        <v>0</v>
      </c>
      <c r="G21" s="461">
        <f t="shared" ref="G21:G30" si="7">G4*$G$16</f>
        <v>0</v>
      </c>
      <c r="H21" s="461">
        <f t="shared" ref="H21:H30" si="8">H4*$H$16</f>
        <v>0</v>
      </c>
      <c r="I21" s="461">
        <f t="shared" ref="I21:I30" si="9">I4*$I$16</f>
        <v>0</v>
      </c>
      <c r="J21" s="461">
        <f t="shared" ref="J21:J30" si="10">J4*$J$16</f>
        <v>606.24520877853217</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21504.301335569115</v>
      </c>
    </row>
    <row r="22" spans="1:17">
      <c r="A22" s="460" t="s">
        <v>156</v>
      </c>
      <c r="B22" s="461">
        <f t="shared" ca="1" si="2"/>
        <v>2428.9261766615482</v>
      </c>
      <c r="C22" s="461">
        <f t="shared" ca="1" si="3"/>
        <v>0</v>
      </c>
      <c r="D22" s="461">
        <f t="shared" ca="1" si="4"/>
        <v>3236.1898138294914</v>
      </c>
      <c r="E22" s="461">
        <f t="shared" si="5"/>
        <v>65.459809532569906</v>
      </c>
      <c r="F22" s="461">
        <f t="shared" ca="1" si="6"/>
        <v>685.49469505495324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6416.070495078563</v>
      </c>
    </row>
    <row r="23" spans="1:17">
      <c r="A23" s="460" t="s">
        <v>195</v>
      </c>
      <c r="B23" s="461">
        <f t="shared" ca="1" si="2"/>
        <v>191.06261355412153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191.06261355412153</v>
      </c>
    </row>
    <row r="24" spans="1:17">
      <c r="A24" s="460" t="s">
        <v>112</v>
      </c>
      <c r="B24" s="461">
        <f t="shared" ca="1" si="2"/>
        <v>371.26982457151189</v>
      </c>
      <c r="C24" s="461">
        <f t="shared" ca="1" si="3"/>
        <v>209.90911764705879</v>
      </c>
      <c r="D24" s="461">
        <f t="shared" si="4"/>
        <v>564.89284012947417</v>
      </c>
      <c r="E24" s="461">
        <f t="shared" si="5"/>
        <v>5.1807333372723647</v>
      </c>
      <c r="F24" s="461">
        <f t="shared" si="6"/>
        <v>2592.1649923661053</v>
      </c>
      <c r="G24" s="461">
        <f t="shared" si="7"/>
        <v>0</v>
      </c>
      <c r="H24" s="461">
        <f t="shared" si="8"/>
        <v>0</v>
      </c>
      <c r="I24" s="461">
        <f t="shared" si="9"/>
        <v>0</v>
      </c>
      <c r="J24" s="461">
        <f t="shared" si="10"/>
        <v>68.900929271252252</v>
      </c>
      <c r="K24" s="461">
        <f t="shared" si="11"/>
        <v>0</v>
      </c>
      <c r="L24" s="461">
        <f t="shared" si="12"/>
        <v>0</v>
      </c>
      <c r="M24" s="461">
        <f t="shared" si="13"/>
        <v>0</v>
      </c>
      <c r="N24" s="461">
        <f t="shared" si="14"/>
        <v>0</v>
      </c>
      <c r="O24" s="461">
        <f t="shared" si="15"/>
        <v>0</v>
      </c>
      <c r="P24" s="462">
        <f t="shared" si="16"/>
        <v>0</v>
      </c>
      <c r="Q24" s="460">
        <f t="shared" ca="1" si="17"/>
        <v>3812.3184373226745</v>
      </c>
    </row>
    <row r="25" spans="1:17">
      <c r="A25" s="460" t="s">
        <v>656</v>
      </c>
      <c r="B25" s="461">
        <f t="shared" ca="1" si="2"/>
        <v>1765.1426407187469</v>
      </c>
      <c r="C25" s="461">
        <f t="shared" ca="1" si="3"/>
        <v>0</v>
      </c>
      <c r="D25" s="461">
        <f t="shared" si="4"/>
        <v>1815.7517036201241</v>
      </c>
      <c r="E25" s="461">
        <f t="shared" si="5"/>
        <v>23.497644687896091</v>
      </c>
      <c r="F25" s="461">
        <f t="shared" si="6"/>
        <v>672.23947447752687</v>
      </c>
      <c r="G25" s="461">
        <f t="shared" si="7"/>
        <v>0</v>
      </c>
      <c r="H25" s="461">
        <f t="shared" si="8"/>
        <v>0</v>
      </c>
      <c r="I25" s="461">
        <f t="shared" si="9"/>
        <v>0</v>
      </c>
      <c r="J25" s="461">
        <f t="shared" si="10"/>
        <v>18.062954113267736</v>
      </c>
      <c r="K25" s="461">
        <f t="shared" si="11"/>
        <v>0</v>
      </c>
      <c r="L25" s="461">
        <f t="shared" si="12"/>
        <v>0</v>
      </c>
      <c r="M25" s="461">
        <f t="shared" si="13"/>
        <v>0</v>
      </c>
      <c r="N25" s="461">
        <f t="shared" si="14"/>
        <v>0</v>
      </c>
      <c r="O25" s="461">
        <f t="shared" si="15"/>
        <v>0</v>
      </c>
      <c r="P25" s="462">
        <f t="shared" si="16"/>
        <v>0</v>
      </c>
      <c r="Q25" s="460">
        <f t="shared" ca="1" si="17"/>
        <v>4294.6944176175612</v>
      </c>
    </row>
    <row r="26" spans="1:17" s="466" customFormat="1">
      <c r="A26" s="464" t="s">
        <v>574</v>
      </c>
      <c r="B26" s="822">
        <f t="shared" ca="1" si="2"/>
        <v>0.17421387439491112</v>
      </c>
      <c r="C26" s="465">
        <f t="shared" ca="1" si="3"/>
        <v>0</v>
      </c>
      <c r="D26" s="465">
        <f t="shared" si="4"/>
        <v>0.99073424164528745</v>
      </c>
      <c r="E26" s="465">
        <f t="shared" si="5"/>
        <v>131.86316854215926</v>
      </c>
      <c r="F26" s="465">
        <f t="shared" si="6"/>
        <v>0</v>
      </c>
      <c r="G26" s="465">
        <f t="shared" si="7"/>
        <v>35405.793369038947</v>
      </c>
      <c r="H26" s="465">
        <f t="shared" si="8"/>
        <v>4225.7618578216425</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39764.583343518789</v>
      </c>
    </row>
    <row r="27" spans="1:17">
      <c r="A27" s="460" t="s">
        <v>564</v>
      </c>
      <c r="B27" s="461">
        <f t="shared" ca="1" si="2"/>
        <v>0</v>
      </c>
      <c r="C27" s="461">
        <f t="shared" ca="1" si="3"/>
        <v>0</v>
      </c>
      <c r="D27" s="461">
        <f t="shared" si="4"/>
        <v>0</v>
      </c>
      <c r="E27" s="461">
        <f t="shared" si="5"/>
        <v>0</v>
      </c>
      <c r="F27" s="461">
        <f t="shared" si="6"/>
        <v>0</v>
      </c>
      <c r="G27" s="461">
        <f t="shared" si="7"/>
        <v>417.89484313030539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417.89484313030539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10178.727863934204</v>
      </c>
      <c r="C31" s="471">
        <f t="shared" ca="1" si="18"/>
        <v>209.90911764705879</v>
      </c>
      <c r="D31" s="471">
        <f t="shared" ca="1" si="18"/>
        <v>20859.692244753493</v>
      </c>
      <c r="E31" s="471">
        <f t="shared" si="18"/>
        <v>460.03793540383947</v>
      </c>
      <c r="F31" s="471">
        <f t="shared" ca="1" si="18"/>
        <v>3949.8991618985856</v>
      </c>
      <c r="G31" s="471">
        <f t="shared" si="18"/>
        <v>35823.688212169254</v>
      </c>
      <c r="H31" s="471">
        <f t="shared" si="18"/>
        <v>4225.7618578216425</v>
      </c>
      <c r="I31" s="471">
        <f t="shared" si="18"/>
        <v>0</v>
      </c>
      <c r="J31" s="471">
        <f t="shared" si="18"/>
        <v>693.20909216305222</v>
      </c>
      <c r="K31" s="471">
        <f t="shared" si="18"/>
        <v>0</v>
      </c>
      <c r="L31" s="471">
        <f t="shared" ca="1" si="18"/>
        <v>0</v>
      </c>
      <c r="M31" s="471">
        <f t="shared" si="18"/>
        <v>0</v>
      </c>
      <c r="N31" s="471">
        <f t="shared" ca="1" si="18"/>
        <v>0</v>
      </c>
      <c r="O31" s="471">
        <f t="shared" si="18"/>
        <v>0</v>
      </c>
      <c r="P31" s="472">
        <f t="shared" si="18"/>
        <v>0</v>
      </c>
      <c r="Q31" s="472">
        <f t="shared" ca="1" si="18"/>
        <v>76400.925485791129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0.17035813733331684</v>
      </c>
      <c r="C17" s="511">
        <f ca="1">'EF ele_warmte'!B22</f>
        <v>7.8529411764705875E-2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0.17035813733331684</v>
      </c>
      <c r="C17" s="511">
        <f ca="1">'EF ele_warmte'!B22</f>
        <v>7.8529411764705875E-2</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0.17035813733331684</v>
      </c>
      <c r="C29" s="512">
        <f ca="1">'EF ele_warmte'!B22</f>
        <v>7.8529411764705875E-2</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2018-06-27T09:02:53Z</dcterms:modified>
</cp:coreProperties>
</file>