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I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G31" i="20"/>
  <c r="H43" i="14" s="1"/>
  <c r="F7" i="48"/>
  <c r="F24" s="1"/>
  <c r="L30"/>
  <c r="B100" i="18"/>
  <c r="C7" s="1"/>
  <c r="B35" i="13"/>
  <c r="B47" s="1"/>
  <c r="I69" i="14"/>
  <c r="J12" i="17"/>
  <c r="K48" i="14" s="1"/>
  <c r="F12" i="17"/>
  <c r="G48" i="14" s="1"/>
  <c r="F100" i="18"/>
  <c r="E9"/>
  <c r="J41" i="14"/>
  <c r="J53" s="1"/>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18" i="16"/>
  <c r="D22" s="1"/>
  <c r="E39" i="14" s="1"/>
  <c r="M22"/>
  <c r="M16" i="18"/>
  <c r="M19" s="1"/>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R22" s="1"/>
  <c r="N7" i="48"/>
  <c r="N24" s="1"/>
  <c r="N12" i="17"/>
  <c r="O48" i="14" s="1"/>
  <c r="D67"/>
  <c r="C9" i="18"/>
  <c r="E13" i="14"/>
  <c r="L12" i="17"/>
  <c r="M48" i="14" s="1"/>
  <c r="C14" i="48"/>
  <c r="Q13"/>
  <c r="D8"/>
  <c r="D25" s="1"/>
  <c r="D31"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Q7" i="48"/>
  <c r="J5"/>
  <c r="J22" s="1"/>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55" s="1"/>
  <c r="F22" i="16"/>
  <c r="G39" i="14" s="1"/>
  <c r="G41" s="1"/>
  <c r="N22" i="16"/>
  <c r="O39" i="14" s="1"/>
  <c r="O41" s="1"/>
  <c r="N25" i="48"/>
  <c r="N31" s="1"/>
  <c r="N14"/>
  <c r="E8"/>
  <c r="Q8"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<sst xmlns="http://schemas.openxmlformats.org/spreadsheetml/2006/main" count="2029" uniqueCount="894">
  <si>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</si>
  <si>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</si>
  <si>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</si>
  <si>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</si>
  <si>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</si>
  <si>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</si>
  <si>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</si>
  <si>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</si>
  <si>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</si>
  <si>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</si>
  <si>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</si>
  <si>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</si>
  <si>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</si>
  <si>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</si>
  <si>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</si>
  <si>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</si>
  <si>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</si>
  <si>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</si>
  <si>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</si>
  <si>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</si>
  <si>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</si>
  <si>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</si>
  <si>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</si>
  <si>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</si>
  <si>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</si>
  <si>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</si>
  <si>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</si>
  <si>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</si>
  <si>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</si>
  <si>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</si>
  <si>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</si>
  <si>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</si>
  <si>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</si>
  <si>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</si>
  <si>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</si>
  <si>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</si>
  <si>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</si>
  <si>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</si>
  <si>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</si>
  <si>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</si>
  <si>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</si>
  <si>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</si>
  <si>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</si>
  <si>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</si>
  <si>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</si>
  <si>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</si>
  <si>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</si>
  <si>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</si>
  <si>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</si>
  <si>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</si>
  <si>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</si>
  <si>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</si>
  <si>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</si>
  <si>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</si>
  <si>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</si>
  <si>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</si>
  <si>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</si>
  <si>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</si>
  <si>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</si>
  <si>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</si>
  <si>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</si>
  <si>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</si>
  <si>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</si>
  <si>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</si>
  <si>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</si>
  <si>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</si>
  <si>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</si>
  <si>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</si>
  <si>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</si>
  <si>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</si>
  <si>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</si>
  <si>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</si>
  <si>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</si>
  <si>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</si>
  <si>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</si>
  <si>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</si>
  <si>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</si>
  <si>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</si>
  <si>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</si>
  <si>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</si>
  <si>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</si>
  <si>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</si>
  <si>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</si>
  <si>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</si>
  <si>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</si>
  <si>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</si>
  <si>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</si>
  <si>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</si>
  <si>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</si>
  <si>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</si>
  <si>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</si>
  <si>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</si>
  <si>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</si>
  <si>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</si>
  <si>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</si>
  <si>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</si>
  <si>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</si>
  <si>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</si>
  <si>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</si>
  <si>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</si>
  <si>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</si>
  <si>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</si>
  <si>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</si>
  <si>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</si>
  <si>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</si>
  <si>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</si>
  <si>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</si>
  <si>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</si>
  <si>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</si>
  <si>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</si>
  <si>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</si>
  <si>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</si>
  <si>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</si>
  <si>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</si>
  <si>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</si>
  <si>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</si>
  <si>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</si>
  <si>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</si>
  <si>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</si>
  <si>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</si>
  <si>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</si>
  <si>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</si>
  <si>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</si>
  <si>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</si>
  <si>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</si>
  <si>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</si>
  <si>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</si>
  <si>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</si>
  <si>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</si>
  <si>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</si>
  <si>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</si>
  <si>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</si>
  <si>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</si>
  <si>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</si>
  <si>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</si>
  <si>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</si>
  <si>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</si>
  <si>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</si>
  <si>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</si>
  <si>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</si>
  <si>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</si>
  <si>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</si>
  <si>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</si>
  <si>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</si>
  <si>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</si>
  <si>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</si>
  <si>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</si>
  <si>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</si>
  <si>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</si>
  <si>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</si>
  <si>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</si>
  <si>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</si>
  <si>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</si>
  <si>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</si>
  <si>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</si>
  <si>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</si>
  <si>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</si>
  <si>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</si>
  <si>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</si>
  <si>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</si>
  <si>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</si>
  <si>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</si>
  <si>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</si>
  <si>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</si>
  <si>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</si>
  <si>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</si>
  <si>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</si>
  <si>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</si>
  <si>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</si>
  <si>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</si>
  <si>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</si>
  <si>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</si>
  <si>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</si>
  <si>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</si>
  <si>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</si>
  <si>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</si>
  <si>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</si>
  <si>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</si>
  <si>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</si>
  <si>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</si>
  <si>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</si>
  <si>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</si>
  <si>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</si>
  <si>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</si>
  <si>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</si>
  <si>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</si>
  <si>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</si>
  <si>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</si>
  <si>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</si>
  <si>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</si>
  <si>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</si>
  <si>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</si>
  <si>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</si>
  <si>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</si>
  <si>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</si>
  <si>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</si>
  <si>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</si>
  <si>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</si>
  <si>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</si>
  <si>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</si>
  <si>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</si>
  <si>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</si>
  <si>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</si>
  <si>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</si>
  <si>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</si>
  <si>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</si>
  <si>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</si>
  <si>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</si>
  <si>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</si>
  <si>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</si>
  <si>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</si>
  <si>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</si>
  <si>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</si>
  <si>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</si>
  <si>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</si>
  <si>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</si>
  <si>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</si>
  <si>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</si>
  <si>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</si>
  <si>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</si>
  <si>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</si>
  <si>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</si>
  <si>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</si>
  <si>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</si>
  <si>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</si>
  <si>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</si>
  <si>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</si>
  <si>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</si>
  <si>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</si>
  <si>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</si>
  <si>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</si>
  <si>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</si>
  <si>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</si>
  <si>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</si>
  <si>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</si>
  <si>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</si>
  <si>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</si>
  <si>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</si>
  <si>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</si>
  <si>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</si>
  <si>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</si>
  <si>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</si>
  <si>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</si>
  <si>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</si>
  <si>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</si>
  <si>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</si>
  <si>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</si>
  <si>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</si>
  <si>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</si>
  <si>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</si>
  <si>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</si>
  <si>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</si>
  <si>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</si>
  <si>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</si>
  <si>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</si>
  <si>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</si>
  <si>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</si>
  <si>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</si>
  <si>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</si>
  <si>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</si>
  <si>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</si>
  <si>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</si>
  <si>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</si>
  <si>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</si>
  <si>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</si>
  <si>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</si>
  <si>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</si>
  <si>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</si>
  <si>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</si>
  <si>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</si>
  <si>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</si>
  <si>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</si>
  <si>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</si>
  <si>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</si>
  <si>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</si>
  <si>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</si>
  <si>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</si>
  <si>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</si>
  <si>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</si>
  <si>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</si>
  <si>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</si>
  <si>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</si>
  <si>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</si>
  <si>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</si>
  <si>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</si>
  <si>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</si>
  <si>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</si>
  <si>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</si>
  <si>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</si>
  <si>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</si>
  <si>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</si>
  <si>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</si>
  <si>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</si>
  <si>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</si>
  <si>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</si>
  <si>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</si>
  <si>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</si>
  <si>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</si>
  <si>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</si>
  <si>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</si>
  <si>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</si>
  <si>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</si>
  <si>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</si>
  <si>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</si>
  <si>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</si>
  <si>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</si>
  <si>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</si>
  <si>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</si>
  <si>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</si>
  <si>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</si>
  <si>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</si>
  <si>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</si>
  <si>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</si>
  <si>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</si>
  <si>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</si>
  <si>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</si>
  <si>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</si>
  <si>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</si>
  <si>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</si>
  <si>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</si>
  <si>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</si>
  <si>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</si>
  <si>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</si>
  <si>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</si>
  <si>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</si>
  <si>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</si>
  <si>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</si>
  <si>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</si>
  <si>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</si>
  <si>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</si>
  <si>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</si>
  <si>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</si>
  <si>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</si>
  <si>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</si>
  <si>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</si>
  <si>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</si>
  <si>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</si>
  <si>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</si>
  <si>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</si>
  <si>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</si>
  <si>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</si>
  <si>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</si>
  <si>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</si>
  <si>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</si>
  <si>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</si>
  <si>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</si>
  <si>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</si>
  <si>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</si>
  <si>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</si>
  <si>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</si>
  <si>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</si>
  <si>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</si>
  <si>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</si>
  <si>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</si>
  <si>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</si>
  <si>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</si>
  <si>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</si>
  <si>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</si>
  <si>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</si>
  <si>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</si>
  <si>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</si>
  <si>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</si>
  <si>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</si>
  <si>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</si>
  <si>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</si>
  <si>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</si>
  <si>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</si>
  <si>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</si>
  <si>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</si>
  <si>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</si>
  <si>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</si>
  <si>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</si>
  <si>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</si>
  <si>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</si>
  <si>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</si>
  <si>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</si>
  <si>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</si>
  <si>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</si>
  <si>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</si>
  <si>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</si>
  <si>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</si>
  <si>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</si>
  <si>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</si>
  <si>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</si>
  <si>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</si>
  <si>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</si>
  <si>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</si>
  <si>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</si>
  <si>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</si>
  <si>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</si>
  <si>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</si>
  <si>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</si>
  <si>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</si>
  <si>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</si>
  <si>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</si>
  <si>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</si>
  <si>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</si>
  <si>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</si>
  <si>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</si>
  <si>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</si>
  <si>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</si>
  <si>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</si>
  <si>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</si>
  <si>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</si>
  <si>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</si>
  <si>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</si>
  <si>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</si>
  <si>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</si>
  <si>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</si>
  <si>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</si>
  <si>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</si>
  <si>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</si>
  <si>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</si>
  <si>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</si>
  <si>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</si>
  <si>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</si>
  <si>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</si>
  <si>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</si>
  <si>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</si>
  <si>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</si>
  <si>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</si>
  <si>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</si>
  <si>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</si>
  <si>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</si>
  <si>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</si>
  <si>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</si>
  <si>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</si>
  <si>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</si>
  <si>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</si>
  <si>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</si>
  <si>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</si>
  <si>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</si>
  <si>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</si>
  <si>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</si>
  <si>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</si>
  <si>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</si>
  <si>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</si>
  <si>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</si>
  <si>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</si>
  <si>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</si>
  <si>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</si>
  <si>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</si>
  <si>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</si>
  <si>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</si>
  <si>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</si>
  <si>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</si>
  <si>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</si>
  <si>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</si>
  <si>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</si>
  <si>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</si>
  <si>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</si>
  <si>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</si>
  <si>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</si>
  <si>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</si>
  <si>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</si>
  <si>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</si>
  <si>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</si>
  <si>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</si>
  <si>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</si>
  <si>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</si>
  <si>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</si>
  <si>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</si>
  <si>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</si>
  <si>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</si>
  <si>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</si>
  <si>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</si>
  <si>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</si>
  <si>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</si>
  <si>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</si>
  <si>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</si>
  <si>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</si>
  <si>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</si>
  <si>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</si>
  <si>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</si>
  <si>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</si>
  <si>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</si>
  <si>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</si>
  <si>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</si>
  <si>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</si>
  <si>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</si>
  <si>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</si>
  <si>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</si>
  <si>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</si>
  <si>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</si>
  <si>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</si>
  <si>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</si>
  <si>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</si>
  <si>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</si>
  <si>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</si>
  <si>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</si>
  <si>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</si>
  <si>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</si>
  <si>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</si>
  <si>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</si>
  <si>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</si>
  <si>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</si>
  <si>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</si>
  <si>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</si>
  <si>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</si>
  <si>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</si>
  <si>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</si>
  <si>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</si>
  <si>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</si>
  <si>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</si>
  <si>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</si>
  <si>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</si>
  <si>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</si>
  <si>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</si>
  <si>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</si>
  <si>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</si>
  <si>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</si>
  <si>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</si>
  <si>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</si>
  <si>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</si>
  <si>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</si>
  <si>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</si>
  <si>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</si>
  <si>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</si>
  <si>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</si>
  <si>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</si>
  <si>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</si>
  <si>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</si>
  <si>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</si>
  <si>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</si>
  <si>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</si>
  <si>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</si>
  <si>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</si>
  <si>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</si>
  <si>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</si>
  <si>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</si>
  <si>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</si>
  <si>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</si>
  <si>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</si>
  <si>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</si>
  <si>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</si>
  <si>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</si>
  <si>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</si>
  <si>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</si>
  <si>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</si>
  <si>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</si>
  <si>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</si>
  <si>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</si>
  <si>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</si>
  <si>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</si>
  <si>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</si>
  <si>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</si>
  <si>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</si>
  <si>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</si>
  <si>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</si>
  <si>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</si>
  <si>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</si>
  <si>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</si>
  <si>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</si>
  <si>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</si>
  <si>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</si>
  <si>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</si>
  <si>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</si>
  <si>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</si>
  <si>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</si>
  <si>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</si>
  <si>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</si>
  <si>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</si>
  <si>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</si>
  <si>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</si>
  <si>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</si>
  <si>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</si>
  <si>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</si>
  <si>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</si>
  <si>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</si>
  <si>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</si>
  <si>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</si>
  <si>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</si>
  <si>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</si>
  <si>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</si>
  <si>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</si>
  <si>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</si>
  <si>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</si>
  <si>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</si>
  <si>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</si>
  <si>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</si>
  <si>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</si>
  <si>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</si>
  <si>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</si>
  <si>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</si>
  <si>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</si>
  <si>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</si>
  <si>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</si>
  <si>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</si>
  <si>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</si>
  <si>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</si>
  <si>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</si>
  <si>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</si>
  <si>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</si>
  <si>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</si>
  <si>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</si>
  <si>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</si>
  <si>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</si>
  <si>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</si>
  <si>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</si>
  <si>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</si>
  <si>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</si>
  <si>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</si>
  <si>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</si>
  <si>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</si>
  <si>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</si>
  <si>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</si>
  <si>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</si>
  <si>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</si>
  <si>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</si>
  <si>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</si>
  <si>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</si>
  <si>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</si>
  <si>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</si>
  <si>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</si>
  <si>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</si>
  <si>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</si>
  <si>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</si>
  <si>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</si>
  <si>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</si>
  <si>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</si>
  <si>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</si>
  <si>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</si>
  <si>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</si>
  <si>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</si>
  <si>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</si>
  <si>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</si>
  <si>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</si>
  <si>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</si>
  <si>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</si>
  <si>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</si>
  <si>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</si>
  <si>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</si>
  <si>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</si>
  <si>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</si>
  <si>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</si>
  <si>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</si>
  <si>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</si>
  <si>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</si>
  <si>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</si>
  <si>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</si>
  <si>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</si>
  <si>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</si>
  <si>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</si>
  <si>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</si>
  <si>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</si>
  <si>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</si>
  <si>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</si>
  <si>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</si>
  <si>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</si>
  <si>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</si>
  <si>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</si>
  <si>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</si>
  <si>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</si>
  <si>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</si>
  <si>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</si>
  <si>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</si>
  <si>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</si>
  <si>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</si>
  <si>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</si>
  <si>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</si>
  <si>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</si>
  <si>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</si>
  <si>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</si>
  <si>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</si>
  <si>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</si>
  <si>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</si>
  <si>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</si>
  <si>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</si>
  <si>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</si>
  <si>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</si>
  <si>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</si>
  <si>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</si>
  <si>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</si>
  <si>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</si>
  <si>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</si>
  <si>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</si>
  <si>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</si>
  <si>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</si>
  <si>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</si>
  <si>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</si>
  <si>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</si>
  <si>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</si>
  <si>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</si>
  <si>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</si>
  <si>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</si>
  <si>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</si>
  <si>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</si>
  <si>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</si>
  <si>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</si>
  <si>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</si>
  <si>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</si>
  <si>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</si>
  <si>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</si>
  <si>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</si>
  <si>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</si>
  <si>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</si>
  <si>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</si>
  <si>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</si>
  <si>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</si>
  <si>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</si>
  <si>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</si>
  <si>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</si>
  <si>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</si>
  <si>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</si>
  <si>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</si>
  <si>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</si>
  <si>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</si>
  <si>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</si>
  <si>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</si>
  <si>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</si>
  <si>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</si>
  <si>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</si>
  <si>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</si>
  <si>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</si>
  <si>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</si>
  <si>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</si>
  <si>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</si>
  <si>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</si>
  <si>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</si>
  <si>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</si>
  <si>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</si>
  <si>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</si>
  <si>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</si>
  <si>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</si>
  <si>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</si>
  <si>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</si>
  <si>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</si>
  <si>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</si>
  <si>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</si>
  <si>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</si>
  <si>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</si>
  <si>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</si>
  <si>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</si>
  <si>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</si>
  <si>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</si>
  <si>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</si>
  <si>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</si>
  <si>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</si>
  <si>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</si>
  <si>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</si>
  <si>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</si>
  <si>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</si>
  <si>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</si>
  <si>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</si>
  <si>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</si>
  <si>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</si>
  <si>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</si>
  <si>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</si>
  <si>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</si>
  <si>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</si>
  <si>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</si>
  <si>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</si>
  <si>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</si>
  <si>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</si>
  <si>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</si>
  <si>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</si>
  <si>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</si>
  <si>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</si>
  <si>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</si>
  <si>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</si>
  <si>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</si>
  <si>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</si>
  <si>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</si>
  <si>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</si>
  <si>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</si>
  <si>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</si>
  <si>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</si>
  <si>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</si>
  <si>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</si>
  <si>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</si>
  <si>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</si>
  <si>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</si>
  <si>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</si>
  <si>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</si>
  <si>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</si>
  <si>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</si>
  <si>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</si>
  <si>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</si>
  <si>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</si>
  <si>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</si>
  <si>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</si>
  <si>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</si>
  <si>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</si>
  <si>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</si>
  <si>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</si>
  <si>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</si>
  <si>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</si>
  <si>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</si>
  <si>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</si>
  <si>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</si>
  <si>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</si>
  <si>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</si>
  <si>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</si>
  <si>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</si>
  <si>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</si>
  <si>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</si>
  <si>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</si>
  <si>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</si>
  <si>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</si>
  <si>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</si>
  <si>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</si>
  <si>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</si>
  <si>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</si>
  <si>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</si>
  <si>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</si>
  <si>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</si>
  <si>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</si>
  <si>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</si>
  <si>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</si>
  <si>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</si>
  <si>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</si>
  <si>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</si>
  <si>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</si>
  <si>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</si>
  <si>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</si>
  <si>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</si>
  <si>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</si>
  <si>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</si>
  <si>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</si>
  <si>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</si>
  <si>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</si>
  <si>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</si>
  <si>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</si>
  <si>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</si>
  <si>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</si>
  <si>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</si>
  <si>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</si>
  <si>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</si>
  <si>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</si>
  <si>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</si>
  <si>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</si>
  <si>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</si>
  <si>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</si>
  <si>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</si>
  <si>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</si>
  <si>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</si>
  <si>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</si>
  <si>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</si>
  <si>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</si>
  <si>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</si>
  <si>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</si>
  <si>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</si>
  <si>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</si>
  <si>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</si>
  <si>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</si>
  <si>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</si>
  <si>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</si>
  <si>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</si>
  <si>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</si>
  <si>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</si>
  <si>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</si>
  <si>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</si>
  <si>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</si>
  <si>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</si>
  <si>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</si>
  <si>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</si>
  <si>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</si>
  <si>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</si>
  <si>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</si>
  <si>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</si>
  <si>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</si>
  <si>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</si>
  <si>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</si>
  <si>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</si>
  <si>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</si>
  <si>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</si>
  <si>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</si>
  <si>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</si>
  <si>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</si>
  <si>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</si>
  <si>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</si>
  <si>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</si>
  <si>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</si>
  <si>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</si>
  <si>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</si>
  <si>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</si>
  <si>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</si>
  <si>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</si>
  <si>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</si>
  <si>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</si>
  <si>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</si>
  <si>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</si>
  <si>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</si>
  <si>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</si>
  <si>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</si>
  <si>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44064</t>
  </si>
  <si>
    <t>SINT-MARTENS-LATEM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</si>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</sst>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44064</v>
      </c>
      <c r="B6" s="396"/>
      <c r="C6" s="397"/>
    </row>
    <row r="7" spans="1:7" s="394" customFormat="1" ht="15.75" customHeight="1">
      <c r="A7" s="398" t="str">
        <f>txtMunicipality</f>
        <v>SINT-MARTENS-LATEM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17222.116445950727</v>
      </c>
      <c r="D10" s="702">
        <f ca="1">tertiair!C16</f>
        <v>0</v>
      </c>
      <c r="E10" s="702">
        <f ca="1">tertiair!D16</f>
        <v>13416.39732225089</v>
      </c>
      <c r="F10" s="702">
        <f>tertiair!E16</f>
        <v>436.451648919842</v>
      </c>
      <c r="G10" s="702">
        <f ca="1">tertiair!F16</f>
        <v>2880.4144822151811</v>
      </c>
      <c r="H10" s="702">
        <f>tertiair!G16</f>
        <v>0</v>
      </c>
      <c r="I10" s="702">
        <f>tertiair!H16</f>
        <v>0</v>
      </c>
      <c r="J10" s="702">
        <f>tertiair!I16</f>
        <v>0</v>
      </c>
      <c r="K10" s="702">
        <f>tertiair!J16</f>
        <v>0</v>
      </c>
      <c r="L10" s="702">
        <f>tertiair!K16</f>
        <v>0</v>
      </c>
      <c r="M10" s="702">
        <f ca="1">tertiair!L16</f>
        <v>0</v>
      </c>
      <c r="N10" s="702">
        <f>tertiair!M16</f>
        <v>0</v>
      </c>
      <c r="O10" s="702">
        <f ca="1">tertiair!N16</f>
        <v>307.3280195945668</v>
      </c>
      <c r="P10" s="702">
        <f>tertiair!O16</f>
        <v>1.5633333333333335</v>
      </c>
      <c r="Q10" s="703">
        <f>tertiair!P16</f>
        <v>19.066666666666666</v>
      </c>
      <c r="R10" s="705">
        <f ca="1">SUM(C10:Q10)</f>
        <v>34283.337918931211</v>
      </c>
      <c r="S10" s="67"/>
    </row>
    <row r="11" spans="1:19" s="457" customFormat="1">
      <c r="A11" s="858" t="s">
        <v>226</v>
      </c>
      <c r="B11" s="863"/>
      <c r="C11" s="702">
        <f>huishoudens!B8</f>
        <v>21393.788916574758</v>
      </c>
      <c r="D11" s="702">
        <f>huishoudens!C8</f>
        <v>0</v>
      </c>
      <c r="E11" s="702">
        <f>huishoudens!D8</f>
        <v>19845.816357025851</v>
      </c>
      <c r="F11" s="702">
        <f>huishoudens!E8</f>
        <v>1509.5797558036402</v>
      </c>
      <c r="G11" s="702">
        <f>huishoudens!F8</f>
        <v>36629.302854525435</v>
      </c>
      <c r="H11" s="702">
        <f>huishoudens!G8</f>
        <v>0</v>
      </c>
      <c r="I11" s="702">
        <f>huishoudens!H8</f>
        <v>0</v>
      </c>
      <c r="J11" s="702">
        <f>huishoudens!I8</f>
        <v>0</v>
      </c>
      <c r="K11" s="702">
        <f>huishoudens!J8</f>
        <v>189.32791915974929</v>
      </c>
      <c r="L11" s="702">
        <f>huishoudens!K8</f>
        <v>0</v>
      </c>
      <c r="M11" s="702">
        <f>huishoudens!L8</f>
        <v>0</v>
      </c>
      <c r="N11" s="702">
        <f>huishoudens!M8</f>
        <v>0</v>
      </c>
      <c r="O11" s="702">
        <f>huishoudens!N8</f>
        <v>1310.3195439037395</v>
      </c>
      <c r="P11" s="702">
        <f>huishoudens!O8</f>
        <v>34.393333333333338</v>
      </c>
      <c r="Q11" s="703">
        <f>huishoudens!P8</f>
        <v>324.13333333333333</v>
      </c>
      <c r="R11" s="705">
        <f>SUM(C11:Q11)</f>
        <v>81236.662013659836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1772.7205323231201</v>
      </c>
      <c r="D13" s="702">
        <f>industrie!C18</f>
        <v>0</v>
      </c>
      <c r="E13" s="702">
        <f>industrie!D18</f>
        <v>1022.1655989898086</v>
      </c>
      <c r="F13" s="702">
        <f>industrie!E18</f>
        <v>21.189109025282967</v>
      </c>
      <c r="G13" s="702">
        <f>industrie!F18</f>
        <v>724.18760319507464</v>
      </c>
      <c r="H13" s="702">
        <f>industrie!G18</f>
        <v>0</v>
      </c>
      <c r="I13" s="702">
        <f>industrie!H18</f>
        <v>0</v>
      </c>
      <c r="J13" s="702">
        <f>industrie!I18</f>
        <v>0</v>
      </c>
      <c r="K13" s="702">
        <f>industrie!J18</f>
        <v>6.4638512605800109</v>
      </c>
      <c r="L13" s="702">
        <f>industrie!K18</f>
        <v>0</v>
      </c>
      <c r="M13" s="702">
        <f>industrie!L18</f>
        <v>0</v>
      </c>
      <c r="N13" s="702">
        <f>industrie!M18</f>
        <v>0</v>
      </c>
      <c r="O13" s="702">
        <f>industrie!N18</f>
        <v>67.715816736111961</v>
      </c>
      <c r="P13" s="702">
        <f>industrie!O18</f>
        <v>0</v>
      </c>
      <c r="Q13" s="703">
        <f>industrie!P18</f>
        <v>0</v>
      </c>
      <c r="R13" s="705">
        <f>SUM(C13:Q13)</f>
        <v>3614.4425115299787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40388.625894848607</v>
      </c>
      <c r="D15" s="707">
        <f t="shared" ref="D15:Q15" ca="1" si="0">SUM(D9:D14)</f>
        <v>0</v>
      </c>
      <c r="E15" s="707">
        <f t="shared" ca="1" si="0"/>
        <v>34284.379278266548</v>
      </c>
      <c r="F15" s="707">
        <f t="shared" si="0"/>
        <v>1967.2205137487651</v>
      </c>
      <c r="G15" s="707">
        <f t="shared" ca="1" si="0"/>
        <v>40233.904939935688</v>
      </c>
      <c r="H15" s="707">
        <f t="shared" si="0"/>
        <v>0</v>
      </c>
      <c r="I15" s="707">
        <f t="shared" si="0"/>
        <v>0</v>
      </c>
      <c r="J15" s="707">
        <f t="shared" si="0"/>
        <v>0</v>
      </c>
      <c r="K15" s="707">
        <f t="shared" si="0"/>
        <v>195.7917704203293</v>
      </c>
      <c r="L15" s="707">
        <f t="shared" si="0"/>
        <v>0</v>
      </c>
      <c r="M15" s="707">
        <f t="shared" ca="1" si="0"/>
        <v>0</v>
      </c>
      <c r="N15" s="707">
        <f t="shared" si="0"/>
        <v>0</v>
      </c>
      <c r="O15" s="707">
        <f t="shared" ca="1" si="0"/>
        <v>1685.3633802344182</v>
      </c>
      <c r="P15" s="707">
        <f t="shared" si="0"/>
        <v>35.956666666666671</v>
      </c>
      <c r="Q15" s="708">
        <f t="shared" si="0"/>
        <v>343.2</v>
      </c>
      <c r="R15" s="709">
        <f ca="1">SUM(R9:R14)</f>
        <v>119134.44244412103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713.6017145441333</v>
      </c>
      <c r="I18" s="702">
        <f>transport!H54</f>
        <v>0</v>
      </c>
      <c r="J18" s="702">
        <f>transport!I54</f>
        <v>0</v>
      </c>
      <c r="K18" s="702">
        <f>transport!J54</f>
        <v>0</v>
      </c>
      <c r="L18" s="702">
        <f>transport!K54</f>
        <v>0</v>
      </c>
      <c r="M18" s="702">
        <f>transport!L54</f>
        <v>0</v>
      </c>
      <c r="N18" s="702">
        <f>transport!M54</f>
        <v>30.417740865089542</v>
      </c>
      <c r="O18" s="702">
        <f>transport!N54</f>
        <v>0</v>
      </c>
      <c r="P18" s="702">
        <f>transport!O54</f>
        <v>0</v>
      </c>
      <c r="Q18" s="703">
        <f>transport!P54</f>
        <v>0</v>
      </c>
      <c r="R18" s="705">
        <f>SUM(C18:Q18)</f>
        <v>744.01945540922281</v>
      </c>
      <c r="S18" s="67"/>
    </row>
    <row r="19" spans="1:19" s="457" customFormat="1" ht="15" thickBot="1">
      <c r="A19" s="858" t="s">
        <v>308</v>
      </c>
      <c r="B19" s="863"/>
      <c r="C19" s="711">
        <f>transport!B14</f>
        <v>0.37528547459324002</v>
      </c>
      <c r="D19" s="711">
        <f>transport!C14</f>
        <v>0</v>
      </c>
      <c r="E19" s="711">
        <f>transport!D14</f>
        <v>1.8543269916993164</v>
      </c>
      <c r="F19" s="711">
        <f>transport!E14</f>
        <v>188.09832771676579</v>
      </c>
      <c r="G19" s="711">
        <f>transport!F14</f>
        <v>0</v>
      </c>
      <c r="H19" s="711">
        <f>transport!G14</f>
        <v>35131.136604287567</v>
      </c>
      <c r="I19" s="711">
        <f>transport!H14</f>
        <v>6170.2441977029948</v>
      </c>
      <c r="J19" s="711">
        <f>transport!I14</f>
        <v>0</v>
      </c>
      <c r="K19" s="711">
        <f>transport!J14</f>
        <v>0</v>
      </c>
      <c r="L19" s="711">
        <f>transport!K14</f>
        <v>0</v>
      </c>
      <c r="M19" s="711">
        <f>transport!L14</f>
        <v>0</v>
      </c>
      <c r="N19" s="711">
        <f>transport!M14</f>
        <v>1802.5100942979541</v>
      </c>
      <c r="O19" s="711">
        <f>transport!N14</f>
        <v>0</v>
      </c>
      <c r="P19" s="711">
        <f>transport!O14</f>
        <v>0</v>
      </c>
      <c r="Q19" s="712">
        <f>transport!P14</f>
        <v>0</v>
      </c>
      <c r="R19" s="713">
        <f>SUM(C19:Q19)</f>
        <v>43294.218836471577</v>
      </c>
      <c r="S19" s="67"/>
    </row>
    <row r="20" spans="1:19" s="457" customFormat="1" ht="15.75" thickBot="1">
      <c r="A20" s="714" t="s">
        <v>231</v>
      </c>
      <c r="B20" s="866"/>
      <c r="C20" s="861">
        <f>SUM(C17:C19)</f>
        <v>0.37528547459324002</v>
      </c>
      <c r="D20" s="715">
        <f t="shared" ref="D20:R20" si="1">SUM(D17:D19)</f>
        <v>0</v>
      </c>
      <c r="E20" s="715">
        <f t="shared" si="1"/>
        <v>1.8543269916993164</v>
      </c>
      <c r="F20" s="715">
        <f t="shared" si="1"/>
        <v>188.09832771676579</v>
      </c>
      <c r="G20" s="715">
        <f t="shared" si="1"/>
        <v>0</v>
      </c>
      <c r="H20" s="715">
        <f t="shared" si="1"/>
        <v>35844.738318831704</v>
      </c>
      <c r="I20" s="715">
        <f t="shared" si="1"/>
        <v>6170.2441977029948</v>
      </c>
      <c r="J20" s="715">
        <f t="shared" si="1"/>
        <v>0</v>
      </c>
      <c r="K20" s="715">
        <f t="shared" si="1"/>
        <v>0</v>
      </c>
      <c r="L20" s="715">
        <f t="shared" si="1"/>
        <v>0</v>
      </c>
      <c r="M20" s="715">
        <f t="shared" si="1"/>
        <v>0</v>
      </c>
      <c r="N20" s="715">
        <f t="shared" si="1"/>
        <v>1832.9278351630437</v>
      </c>
      <c r="O20" s="715">
        <f t="shared" si="1"/>
        <v>0</v>
      </c>
      <c r="P20" s="715">
        <f t="shared" si="1"/>
        <v>0</v>
      </c>
      <c r="Q20" s="716">
        <f t="shared" si="1"/>
        <v>0</v>
      </c>
      <c r="R20" s="717">
        <f t="shared" si="1"/>
        <v>44038.2382918808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302.18702625662519</v>
      </c>
      <c r="D22" s="711">
        <f>+landbouw!C8</f>
        <v>0</v>
      </c>
      <c r="E22" s="711">
        <f>+landbouw!D8</f>
        <v>1589.297617774937</v>
      </c>
      <c r="F22" s="711">
        <f>+landbouw!E8</f>
        <v>3.1645679597827181</v>
      </c>
      <c r="G22" s="711">
        <f>+landbouw!F8</f>
        <v>1552.0806823619318</v>
      </c>
      <c r="H22" s="711">
        <f>+landbouw!G8</f>
        <v>0</v>
      </c>
      <c r="I22" s="711">
        <f>+landbouw!H8</f>
        <v>0</v>
      </c>
      <c r="J22" s="711">
        <f>+landbouw!I8</f>
        <v>0</v>
      </c>
      <c r="K22" s="711">
        <f>+landbouw!J8</f>
        <v>26.988009993239888</v>
      </c>
      <c r="L22" s="711">
        <f>+landbouw!K8</f>
        <v>0</v>
      </c>
      <c r="M22" s="711">
        <f>+landbouw!L8</f>
        <v>0</v>
      </c>
      <c r="N22" s="711">
        <f>+landbouw!M8</f>
        <v>0</v>
      </c>
      <c r="O22" s="711">
        <f>+landbouw!N8</f>
        <v>0</v>
      </c>
      <c r="P22" s="711">
        <f>+landbouw!O8</f>
        <v>0</v>
      </c>
      <c r="Q22" s="712">
        <f>+landbouw!P8</f>
        <v>0</v>
      </c>
      <c r="R22" s="713">
        <f>SUM(C22:Q22)</f>
        <v>3473.7179043465167</v>
      </c>
      <c r="S22" s="67"/>
    </row>
    <row r="23" spans="1:19" s="457" customFormat="1" ht="17.25" thickTop="1" thickBot="1">
      <c r="A23" s="718" t="s">
        <v>116</v>
      </c>
      <c r="B23" s="852"/>
      <c r="C23" s="719">
        <f ca="1">C20+C15+C22</f>
        <v>40691.18820657982</v>
      </c>
      <c r="D23" s="719">
        <f t="shared" ref="D23:Q23" ca="1" si="2">D20+D15+D22</f>
        <v>0</v>
      </c>
      <c r="E23" s="719">
        <f t="shared" ca="1" si="2"/>
        <v>35875.531223033184</v>
      </c>
      <c r="F23" s="719">
        <f t="shared" si="2"/>
        <v>2158.4834094253138</v>
      </c>
      <c r="G23" s="719">
        <f t="shared" ca="1" si="2"/>
        <v>41785.985622297623</v>
      </c>
      <c r="H23" s="719">
        <f t="shared" si="2"/>
        <v>35844.738318831704</v>
      </c>
      <c r="I23" s="719">
        <f t="shared" si="2"/>
        <v>6170.2441977029948</v>
      </c>
      <c r="J23" s="719">
        <f t="shared" si="2"/>
        <v>0</v>
      </c>
      <c r="K23" s="719">
        <f t="shared" si="2"/>
        <v>222.7797804135692</v>
      </c>
      <c r="L23" s="719">
        <f t="shared" si="2"/>
        <v>0</v>
      </c>
      <c r="M23" s="719">
        <f t="shared" ca="1" si="2"/>
        <v>0</v>
      </c>
      <c r="N23" s="719">
        <f t="shared" si="2"/>
        <v>1832.9278351630437</v>
      </c>
      <c r="O23" s="719">
        <f t="shared" ca="1" si="2"/>
        <v>1685.3633802344182</v>
      </c>
      <c r="P23" s="719">
        <f t="shared" si="2"/>
        <v>35.956666666666671</v>
      </c>
      <c r="Q23" s="720">
        <f t="shared" si="2"/>
        <v>343.2</v>
      </c>
      <c r="R23" s="721">
        <f ca="1">R20+R15+R22</f>
        <v>166646.39864034834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3763.2600200448969</v>
      </c>
      <c r="D36" s="702">
        <f ca="1">tertiair!C20</f>
        <v>0</v>
      </c>
      <c r="E36" s="702">
        <f ca="1">tertiair!D20</f>
        <v>2710.1122590946802</v>
      </c>
      <c r="F36" s="702">
        <f>tertiair!E20</f>
        <v>99.074524304804143</v>
      </c>
      <c r="G36" s="702">
        <f ca="1">tertiair!F20</f>
        <v>769.07066675145336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7341.5174701958349</v>
      </c>
    </row>
    <row r="37" spans="1:18">
      <c r="A37" s="873" t="s">
        <v>226</v>
      </c>
      <c r="B37" s="880"/>
      <c r="C37" s="702">
        <f ca="1">huishoudens!B12</f>
        <v>4674.8255802181066</v>
      </c>
      <c r="D37" s="702">
        <f ca="1">huishoudens!C12</f>
        <v>0</v>
      </c>
      <c r="E37" s="702">
        <f>huishoudens!D12</f>
        <v>4008.8549041192223</v>
      </c>
      <c r="F37" s="702">
        <f>huishoudens!E12</f>
        <v>342.67460456742634</v>
      </c>
      <c r="G37" s="702">
        <f>huishoudens!F12</f>
        <v>9780.0238621582921</v>
      </c>
      <c r="H37" s="702">
        <f>huishoudens!G12</f>
        <v>0</v>
      </c>
      <c r="I37" s="702">
        <f>huishoudens!H12</f>
        <v>0</v>
      </c>
      <c r="J37" s="702">
        <f>huishoudens!I12</f>
        <v>0</v>
      </c>
      <c r="K37" s="702">
        <f>huishoudens!J12</f>
        <v>67.022083382551244</v>
      </c>
      <c r="L37" s="702">
        <f>huishoudens!K12</f>
        <v>0</v>
      </c>
      <c r="M37" s="702">
        <f>huishoudens!L12</f>
        <v>0</v>
      </c>
      <c r="N37" s="702">
        <f>huishoudens!M12</f>
        <v>0</v>
      </c>
      <c r="O37" s="702">
        <f>huishoudens!N12</f>
        <v>0</v>
      </c>
      <c r="P37" s="702">
        <f>huishoudens!O12</f>
        <v>0</v>
      </c>
      <c r="Q37" s="812">
        <f>huishoudens!P12</f>
        <v>0</v>
      </c>
      <c r="R37" s="905">
        <f ca="1">SUM(C37:Q37)</f>
        <v>18873.401034445596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387.36286140794516</v>
      </c>
      <c r="D39" s="702">
        <f ca="1">industrie!C22</f>
        <v>0</v>
      </c>
      <c r="E39" s="702">
        <f>industrie!D22</f>
        <v>206.47745099594135</v>
      </c>
      <c r="F39" s="702">
        <f>industrie!E22</f>
        <v>4.8099277487392333</v>
      </c>
      <c r="G39" s="702">
        <f>industrie!F22</f>
        <v>193.35809005308494</v>
      </c>
      <c r="H39" s="702">
        <f>industrie!G22</f>
        <v>0</v>
      </c>
      <c r="I39" s="702">
        <f>industrie!H22</f>
        <v>0</v>
      </c>
      <c r="J39" s="702">
        <f>industrie!I22</f>
        <v>0</v>
      </c>
      <c r="K39" s="702">
        <f>industrie!J22</f>
        <v>2.2882033462453237</v>
      </c>
      <c r="L39" s="702">
        <f>industrie!K22</f>
        <v>0</v>
      </c>
      <c r="M39" s="702">
        <f>industrie!L22</f>
        <v>0</v>
      </c>
      <c r="N39" s="702">
        <f>industrie!M22</f>
        <v>0</v>
      </c>
      <c r="O39" s="702">
        <f>industrie!N22</f>
        <v>0</v>
      </c>
      <c r="P39" s="702">
        <f>industrie!O22</f>
        <v>0</v>
      </c>
      <c r="Q39" s="812">
        <f>industrie!P22</f>
        <v>0</v>
      </c>
      <c r="R39" s="906">
        <f ca="1">SUM(C39:Q39)</f>
        <v>794.29653355195603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8825.4484616709469</v>
      </c>
      <c r="D41" s="747">
        <f t="shared" ref="D41:R41" ca="1" si="4">SUM(D35:D40)</f>
        <v>0</v>
      </c>
      <c r="E41" s="747">
        <f t="shared" ca="1" si="4"/>
        <v>6925.4446142098441</v>
      </c>
      <c r="F41" s="747">
        <f t="shared" si="4"/>
        <v>446.55905662096973</v>
      </c>
      <c r="G41" s="747">
        <f t="shared" ca="1" si="4"/>
        <v>10742.45261896283</v>
      </c>
      <c r="H41" s="747">
        <f t="shared" si="4"/>
        <v>0</v>
      </c>
      <c r="I41" s="747">
        <f t="shared" si="4"/>
        <v>0</v>
      </c>
      <c r="J41" s="747">
        <f t="shared" si="4"/>
        <v>0</v>
      </c>
      <c r="K41" s="747">
        <f t="shared" si="4"/>
        <v>69.310286728796569</v>
      </c>
      <c r="L41" s="747">
        <f t="shared" si="4"/>
        <v>0</v>
      </c>
      <c r="M41" s="747">
        <f t="shared" ca="1" si="4"/>
        <v>0</v>
      </c>
      <c r="N41" s="747">
        <f t="shared" si="4"/>
        <v>0</v>
      </c>
      <c r="O41" s="747">
        <f t="shared" ca="1" si="4"/>
        <v>0</v>
      </c>
      <c r="P41" s="747">
        <f t="shared" si="4"/>
        <v>0</v>
      </c>
      <c r="Q41" s="748">
        <f t="shared" si="4"/>
        <v>0</v>
      </c>
      <c r="R41" s="749">
        <f t="shared" ca="1" si="4"/>
        <v>27009.215038193386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190.53165778328361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190.53165778328361</v>
      </c>
    </row>
    <row r="45" spans="1:18" ht="15" thickBot="1">
      <c r="A45" s="876" t="s">
        <v>308</v>
      </c>
      <c r="B45" s="886"/>
      <c r="C45" s="711">
        <f ca="1">transport!B18</f>
        <v>8.2004835298415069E-2</v>
      </c>
      <c r="D45" s="711">
        <f>transport!C18</f>
        <v>0</v>
      </c>
      <c r="E45" s="711">
        <f>transport!D18</f>
        <v>0.37457405232326191</v>
      </c>
      <c r="F45" s="711">
        <f>transport!E18</f>
        <v>42.698320391705835</v>
      </c>
      <c r="G45" s="711">
        <f>transport!F18</f>
        <v>0</v>
      </c>
      <c r="H45" s="711">
        <f>transport!G18</f>
        <v>9380.0134733447812</v>
      </c>
      <c r="I45" s="711">
        <f>transport!H18</f>
        <v>1536.3908052280458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10959.559177852154</v>
      </c>
    </row>
    <row r="46" spans="1:18" ht="15.75" thickBot="1">
      <c r="A46" s="874" t="s">
        <v>231</v>
      </c>
      <c r="B46" s="887"/>
      <c r="C46" s="747">
        <f t="shared" ref="C46:R46" ca="1" si="5">SUM(C43:C45)</f>
        <v>8.2004835298415069E-2</v>
      </c>
      <c r="D46" s="747">
        <f t="shared" ca="1" si="5"/>
        <v>0</v>
      </c>
      <c r="E46" s="747">
        <f t="shared" si="5"/>
        <v>0.37457405232326191</v>
      </c>
      <c r="F46" s="747">
        <f t="shared" si="5"/>
        <v>42.698320391705835</v>
      </c>
      <c r="G46" s="747">
        <f t="shared" si="5"/>
        <v>0</v>
      </c>
      <c r="H46" s="747">
        <f t="shared" si="5"/>
        <v>9570.5451311280649</v>
      </c>
      <c r="I46" s="747">
        <f t="shared" si="5"/>
        <v>1536.3908052280458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11150.090835635438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66.031858398866888</v>
      </c>
      <c r="D48" s="702">
        <f ca="1">+landbouw!C12</f>
        <v>0</v>
      </c>
      <c r="E48" s="702">
        <f>+landbouw!D12</f>
        <v>321.03811879053728</v>
      </c>
      <c r="F48" s="702">
        <f>+landbouw!E12</f>
        <v>0.71835692687067698</v>
      </c>
      <c r="G48" s="702">
        <f>+landbouw!F12</f>
        <v>414.4055421906358</v>
      </c>
      <c r="H48" s="702">
        <f>+landbouw!G12</f>
        <v>0</v>
      </c>
      <c r="I48" s="702">
        <f>+landbouw!H12</f>
        <v>0</v>
      </c>
      <c r="J48" s="702">
        <f>+landbouw!I12</f>
        <v>0</v>
      </c>
      <c r="K48" s="702">
        <f>+landbouw!J12</f>
        <v>9.5537555376069196</v>
      </c>
      <c r="L48" s="702">
        <f>+landbouw!K12</f>
        <v>0</v>
      </c>
      <c r="M48" s="702">
        <f>+landbouw!L12</f>
        <v>0</v>
      </c>
      <c r="N48" s="702">
        <f>+landbouw!M12</f>
        <v>0</v>
      </c>
      <c r="O48" s="702">
        <f>+landbouw!N12</f>
        <v>0</v>
      </c>
      <c r="P48" s="702">
        <f>+landbouw!O12</f>
        <v>0</v>
      </c>
      <c r="Q48" s="703">
        <f>+landbouw!P12</f>
        <v>0</v>
      </c>
      <c r="R48" s="745">
        <f ca="1">SUM(C48:Q48)</f>
        <v>811.74763184451751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8891.5623249051114</v>
      </c>
      <c r="D53" s="757">
        <f t="shared" ref="D53:Q53" ca="1" si="6">D41+D46+D48</f>
        <v>0</v>
      </c>
      <c r="E53" s="757">
        <f t="shared" ca="1" si="6"/>
        <v>7246.8573070527054</v>
      </c>
      <c r="F53" s="757">
        <f t="shared" si="6"/>
        <v>489.97573393954622</v>
      </c>
      <c r="G53" s="757">
        <f t="shared" ca="1" si="6"/>
        <v>11156.858161153466</v>
      </c>
      <c r="H53" s="757">
        <f t="shared" si="6"/>
        <v>9570.5451311280649</v>
      </c>
      <c r="I53" s="757">
        <f t="shared" si="6"/>
        <v>1536.3908052280458</v>
      </c>
      <c r="J53" s="757">
        <f t="shared" si="6"/>
        <v>0</v>
      </c>
      <c r="K53" s="757">
        <f t="shared" si="6"/>
        <v>78.864042266403487</v>
      </c>
      <c r="L53" s="757">
        <f t="shared" si="6"/>
        <v>0</v>
      </c>
      <c r="M53" s="757">
        <f t="shared" ca="1" si="6"/>
        <v>0</v>
      </c>
      <c r="N53" s="757">
        <f t="shared" si="6"/>
        <v>0</v>
      </c>
      <c r="O53" s="757">
        <f t="shared" ca="1" si="6"/>
        <v>0</v>
      </c>
      <c r="P53" s="757">
        <f>P41+P46+P48</f>
        <v>0</v>
      </c>
      <c r="Q53" s="758">
        <f t="shared" si="6"/>
        <v>0</v>
      </c>
      <c r="R53" s="759">
        <f ca="1">R41+R46+R48</f>
        <v>38971.053505673342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0.21851321420659164</v>
      </c>
      <c r="D55" s="823">
        <f t="shared" ca="1" si="7"/>
        <v>0</v>
      </c>
      <c r="E55" s="823">
        <f t="shared" ca="1" si="7"/>
        <v>0.20200000000000007</v>
      </c>
      <c r="F55" s="823">
        <f t="shared" si="7"/>
        <v>0.22700000000000001</v>
      </c>
      <c r="G55" s="823">
        <f t="shared" ca="1" si="7"/>
        <v>0.26700000000000002</v>
      </c>
      <c r="H55" s="823">
        <f t="shared" si="7"/>
        <v>0.26700000000000002</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457.87451922636717</v>
      </c>
      <c r="C66" s="779">
        <f>'lokale energieproductie'!B6</f>
        <v>457.87451922636717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457.87451922636717</v>
      </c>
      <c r="C69" s="787">
        <f>SUM(C64:C68)</f>
        <v>457.87451922636717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21393.788916574758</v>
      </c>
      <c r="C4" s="461">
        <f>huishoudens!C8</f>
        <v>0</v>
      </c>
      <c r="D4" s="461">
        <f>huishoudens!D8</f>
        <v>19845.816357025851</v>
      </c>
      <c r="E4" s="461">
        <f>huishoudens!E8</f>
        <v>1509.5797558036402</v>
      </c>
      <c r="F4" s="461">
        <f>huishoudens!F8</f>
        <v>36629.302854525435</v>
      </c>
      <c r="G4" s="461">
        <f>huishoudens!G8</f>
        <v>0</v>
      </c>
      <c r="H4" s="461">
        <f>huishoudens!H8</f>
        <v>0</v>
      </c>
      <c r="I4" s="461">
        <f>huishoudens!I8</f>
        <v>0</v>
      </c>
      <c r="J4" s="461">
        <f>huishoudens!J8</f>
        <v>189.32791915974929</v>
      </c>
      <c r="K4" s="461">
        <f>huishoudens!K8</f>
        <v>0</v>
      </c>
      <c r="L4" s="461">
        <f>huishoudens!L8</f>
        <v>0</v>
      </c>
      <c r="M4" s="461">
        <f>huishoudens!M8</f>
        <v>0</v>
      </c>
      <c r="N4" s="461">
        <f>huishoudens!N8</f>
        <v>1310.3195439037395</v>
      </c>
      <c r="O4" s="461">
        <f>huishoudens!O8</f>
        <v>34.393333333333338</v>
      </c>
      <c r="P4" s="462">
        <f>huishoudens!P8</f>
        <v>324.13333333333333</v>
      </c>
      <c r="Q4" s="463">
        <f>SUM(B4:P4)</f>
        <v>81236.662013659836</v>
      </c>
    </row>
    <row r="5" spans="1:17">
      <c r="A5" s="460" t="s">
        <v>156</v>
      </c>
      <c r="B5" s="461">
        <f ca="1">tertiair!B16</f>
        <v>16657.375445950729</v>
      </c>
      <c r="C5" s="461">
        <f ca="1">tertiair!C16</f>
        <v>0</v>
      </c>
      <c r="D5" s="461">
        <f ca="1">tertiair!D16</f>
        <v>13416.39732225089</v>
      </c>
      <c r="E5" s="461">
        <f>tertiair!E16</f>
        <v>436.451648919842</v>
      </c>
      <c r="F5" s="461">
        <f ca="1">tertiair!F16</f>
        <v>2880.4144822151811</v>
      </c>
      <c r="G5" s="461">
        <f>tertiair!G16</f>
        <v>0</v>
      </c>
      <c r="H5" s="461">
        <f>tertiair!H16</f>
        <v>0</v>
      </c>
      <c r="I5" s="461">
        <f>tertiair!I16</f>
        <v>0</v>
      </c>
      <c r="J5" s="461">
        <f>tertiair!J16</f>
        <v>0</v>
      </c>
      <c r="K5" s="461">
        <f>tertiair!K16</f>
        <v>0</v>
      </c>
      <c r="L5" s="461">
        <f ca="1">tertiair!L16</f>
        <v>0</v>
      </c>
      <c r="M5" s="461">
        <f>tertiair!M16</f>
        <v>0</v>
      </c>
      <c r="N5" s="461">
        <f ca="1">tertiair!N16</f>
        <v>307.3280195945668</v>
      </c>
      <c r="O5" s="461">
        <f>tertiair!O16</f>
        <v>1.5633333333333335</v>
      </c>
      <c r="P5" s="462">
        <f>tertiair!P16</f>
        <v>19.066666666666666</v>
      </c>
      <c r="Q5" s="460">
        <f t="shared" ref="Q5:Q13" ca="1" si="0">SUM(B5:P5)</f>
        <v>33718.596918931209</v>
      </c>
    </row>
    <row r="6" spans="1:17">
      <c r="A6" s="460" t="s">
        <v>195</v>
      </c>
      <c r="B6" s="461">
        <f>'openbare verlichting'!B8</f>
        <v>564.74099999999999</v>
      </c>
      <c r="C6" s="461"/>
      <c r="D6" s="461"/>
      <c r="E6" s="461"/>
      <c r="F6" s="461"/>
      <c r="G6" s="461"/>
      <c r="H6" s="461"/>
      <c r="I6" s="461"/>
      <c r="J6" s="461"/>
      <c r="K6" s="461"/>
      <c r="L6" s="461"/>
      <c r="M6" s="461"/>
      <c r="N6" s="461"/>
      <c r="O6" s="461"/>
      <c r="P6" s="462"/>
      <c r="Q6" s="460">
        <f t="shared" si="0"/>
        <v>564.74099999999999</v>
      </c>
    </row>
    <row r="7" spans="1:17">
      <c r="A7" s="460" t="s">
        <v>112</v>
      </c>
      <c r="B7" s="461">
        <f>landbouw!B8</f>
        <v>302.18702625662519</v>
      </c>
      <c r="C7" s="461">
        <f>landbouw!C8</f>
        <v>0</v>
      </c>
      <c r="D7" s="461">
        <f>landbouw!D8</f>
        <v>1589.297617774937</v>
      </c>
      <c r="E7" s="461">
        <f>landbouw!E8</f>
        <v>3.1645679597827181</v>
      </c>
      <c r="F7" s="461">
        <f>landbouw!F8</f>
        <v>1552.0806823619318</v>
      </c>
      <c r="G7" s="461">
        <f>landbouw!G8</f>
        <v>0</v>
      </c>
      <c r="H7" s="461">
        <f>landbouw!H8</f>
        <v>0</v>
      </c>
      <c r="I7" s="461">
        <f>landbouw!I8</f>
        <v>0</v>
      </c>
      <c r="J7" s="461">
        <f>landbouw!J8</f>
        <v>26.988009993239888</v>
      </c>
      <c r="K7" s="461">
        <f>landbouw!K8</f>
        <v>0</v>
      </c>
      <c r="L7" s="461">
        <f>landbouw!L8</f>
        <v>0</v>
      </c>
      <c r="M7" s="461">
        <f>landbouw!M8</f>
        <v>0</v>
      </c>
      <c r="N7" s="461">
        <f>landbouw!N8</f>
        <v>0</v>
      </c>
      <c r="O7" s="461">
        <f>landbouw!O8</f>
        <v>0</v>
      </c>
      <c r="P7" s="462">
        <f>landbouw!P8</f>
        <v>0</v>
      </c>
      <c r="Q7" s="460">
        <f t="shared" si="0"/>
        <v>3473.7179043465167</v>
      </c>
    </row>
    <row r="8" spans="1:17">
      <c r="A8" s="460" t="s">
        <v>656</v>
      </c>
      <c r="B8" s="461">
        <f>industrie!B18</f>
        <v>1772.7205323231201</v>
      </c>
      <c r="C8" s="461">
        <f>industrie!C18</f>
        <v>0</v>
      </c>
      <c r="D8" s="461">
        <f>industrie!D18</f>
        <v>1022.1655989898086</v>
      </c>
      <c r="E8" s="461">
        <f>industrie!E18</f>
        <v>21.189109025282967</v>
      </c>
      <c r="F8" s="461">
        <f>industrie!F18</f>
        <v>724.18760319507464</v>
      </c>
      <c r="G8" s="461">
        <f>industrie!G18</f>
        <v>0</v>
      </c>
      <c r="H8" s="461">
        <f>industrie!H18</f>
        <v>0</v>
      </c>
      <c r="I8" s="461">
        <f>industrie!I18</f>
        <v>0</v>
      </c>
      <c r="J8" s="461">
        <f>industrie!J18</f>
        <v>6.4638512605800109</v>
      </c>
      <c r="K8" s="461">
        <f>industrie!K18</f>
        <v>0</v>
      </c>
      <c r="L8" s="461">
        <f>industrie!L18</f>
        <v>0</v>
      </c>
      <c r="M8" s="461">
        <f>industrie!M18</f>
        <v>0</v>
      </c>
      <c r="N8" s="461">
        <f>industrie!N18</f>
        <v>67.715816736111961</v>
      </c>
      <c r="O8" s="461">
        <f>industrie!O18</f>
        <v>0</v>
      </c>
      <c r="P8" s="462">
        <f>industrie!P18</f>
        <v>0</v>
      </c>
      <c r="Q8" s="460">
        <f t="shared" si="0"/>
        <v>3614.4425115299787</v>
      </c>
    </row>
    <row r="9" spans="1:17" s="466" customFormat="1">
      <c r="A9" s="464" t="s">
        <v>574</v>
      </c>
      <c r="B9" s="465">
        <f>transport!B14</f>
        <v>0.37528547459324002</v>
      </c>
      <c r="C9" s="465">
        <f>transport!C14</f>
        <v>0</v>
      </c>
      <c r="D9" s="465">
        <f>transport!D14</f>
        <v>1.8543269916993164</v>
      </c>
      <c r="E9" s="465">
        <f>transport!E14</f>
        <v>188.09832771676579</v>
      </c>
      <c r="F9" s="465">
        <f>transport!F14</f>
        <v>0</v>
      </c>
      <c r="G9" s="465">
        <f>transport!G14</f>
        <v>35131.136604287567</v>
      </c>
      <c r="H9" s="465">
        <f>transport!H14</f>
        <v>6170.2441977029948</v>
      </c>
      <c r="I9" s="465">
        <f>transport!I14</f>
        <v>0</v>
      </c>
      <c r="J9" s="465">
        <f>transport!J14</f>
        <v>0</v>
      </c>
      <c r="K9" s="465">
        <f>transport!K14</f>
        <v>0</v>
      </c>
      <c r="L9" s="465">
        <f>transport!L14</f>
        <v>0</v>
      </c>
      <c r="M9" s="465">
        <f>transport!M14</f>
        <v>1802.5100942979541</v>
      </c>
      <c r="N9" s="465">
        <f>transport!N14</f>
        <v>0</v>
      </c>
      <c r="O9" s="465">
        <f>transport!O14</f>
        <v>0</v>
      </c>
      <c r="P9" s="465">
        <f>transport!P14</f>
        <v>0</v>
      </c>
      <c r="Q9" s="464">
        <f>SUM(B9:P9)</f>
        <v>43294.218836471577</v>
      </c>
    </row>
    <row r="10" spans="1:17">
      <c r="A10" s="460" t="s">
        <v>564</v>
      </c>
      <c r="B10" s="461">
        <f>transport!B54</f>
        <v>0</v>
      </c>
      <c r="C10" s="461">
        <f>transport!C54</f>
        <v>0</v>
      </c>
      <c r="D10" s="461">
        <f>transport!D54</f>
        <v>0</v>
      </c>
      <c r="E10" s="461">
        <f>transport!E54</f>
        <v>0</v>
      </c>
      <c r="F10" s="461">
        <f>transport!F54</f>
        <v>0</v>
      </c>
      <c r="G10" s="461">
        <f>transport!G54</f>
        <v>713.6017145441333</v>
      </c>
      <c r="H10" s="461">
        <f>transport!H54</f>
        <v>0</v>
      </c>
      <c r="I10" s="461">
        <f>transport!I54</f>
        <v>0</v>
      </c>
      <c r="J10" s="461">
        <f>transport!J54</f>
        <v>0</v>
      </c>
      <c r="K10" s="461">
        <f>transport!K54</f>
        <v>0</v>
      </c>
      <c r="L10" s="461">
        <f>transport!L54</f>
        <v>0</v>
      </c>
      <c r="M10" s="461">
        <f>transport!M54</f>
        <v>30.417740865089542</v>
      </c>
      <c r="N10" s="461">
        <f>transport!N54</f>
        <v>0</v>
      </c>
      <c r="O10" s="461">
        <f>transport!O54</f>
        <v>0</v>
      </c>
      <c r="P10" s="462">
        <f>transport!P54</f>
        <v>0</v>
      </c>
      <c r="Q10" s="460">
        <f t="shared" si="0"/>
        <v>744.01945540922281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40691.18820657982</v>
      </c>
      <c r="C14" s="471">
        <f t="shared" ref="C14:Q14" ca="1" si="1">SUM(C4:C13)</f>
        <v>0</v>
      </c>
      <c r="D14" s="471">
        <f t="shared" ca="1" si="1"/>
        <v>35875.531223033184</v>
      </c>
      <c r="E14" s="471">
        <f t="shared" si="1"/>
        <v>2158.4834094253138</v>
      </c>
      <c r="F14" s="471">
        <f t="shared" ca="1" si="1"/>
        <v>41785.985622297623</v>
      </c>
      <c r="G14" s="471">
        <f t="shared" si="1"/>
        <v>35844.738318831704</v>
      </c>
      <c r="H14" s="471">
        <f t="shared" si="1"/>
        <v>6170.2441977029948</v>
      </c>
      <c r="I14" s="471">
        <f t="shared" si="1"/>
        <v>0</v>
      </c>
      <c r="J14" s="471">
        <f t="shared" si="1"/>
        <v>222.7797804135692</v>
      </c>
      <c r="K14" s="471">
        <f t="shared" si="1"/>
        <v>0</v>
      </c>
      <c r="L14" s="471">
        <f t="shared" ca="1" si="1"/>
        <v>0</v>
      </c>
      <c r="M14" s="471">
        <f t="shared" si="1"/>
        <v>1832.9278351630437</v>
      </c>
      <c r="N14" s="471">
        <f t="shared" ca="1" si="1"/>
        <v>1685.3633802344182</v>
      </c>
      <c r="O14" s="471">
        <f t="shared" si="1"/>
        <v>35.956666666666671</v>
      </c>
      <c r="P14" s="472">
        <f t="shared" si="1"/>
        <v>343.2</v>
      </c>
      <c r="Q14" s="472">
        <f t="shared" ca="1" si="1"/>
        <v>166646.39864034834</v>
      </c>
    </row>
    <row r="16" spans="1:17">
      <c r="A16" s="474" t="s">
        <v>569</v>
      </c>
      <c r="B16" s="828">
        <f ca="1">huishoudens!B10</f>
        <v>0.21851321420659167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4674.8255802181066</v>
      </c>
      <c r="C21" s="461">
        <f t="shared" ref="C21:C30" ca="1" si="3">C4*$C$16</f>
        <v>0</v>
      </c>
      <c r="D21" s="461">
        <f t="shared" ref="D21:D30" si="4">D4*$D$16</f>
        <v>4008.8549041192223</v>
      </c>
      <c r="E21" s="461">
        <f t="shared" ref="E21:E30" si="5">E4*$E$16</f>
        <v>342.67460456742634</v>
      </c>
      <c r="F21" s="461">
        <f t="shared" ref="F21:F30" si="6">F4*$F$16</f>
        <v>9780.0238621582921</v>
      </c>
      <c r="G21" s="461">
        <f t="shared" ref="G21:G30" si="7">G4*$G$16</f>
        <v>0</v>
      </c>
      <c r="H21" s="461">
        <f t="shared" ref="H21:H30" si="8">H4*$H$16</f>
        <v>0</v>
      </c>
      <c r="I21" s="461">
        <f t="shared" ref="I21:I30" si="9">I4*$I$16</f>
        <v>0</v>
      </c>
      <c r="J21" s="461">
        <f t="shared" ref="J21:J30" si="10">J4*$J$16</f>
        <v>67.022083382551244</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18873.401034445596</v>
      </c>
    </row>
    <row r="22" spans="1:17">
      <c r="A22" s="460" t="s">
        <v>156</v>
      </c>
      <c r="B22" s="461">
        <f t="shared" ca="1" si="2"/>
        <v>3639.8566489406521</v>
      </c>
      <c r="C22" s="461">
        <f t="shared" ca="1" si="3"/>
        <v>0</v>
      </c>
      <c r="D22" s="461">
        <f t="shared" ca="1" si="4"/>
        <v>2710.1122590946802</v>
      </c>
      <c r="E22" s="461">
        <f t="shared" si="5"/>
        <v>99.074524304804143</v>
      </c>
      <c r="F22" s="461">
        <f t="shared" ca="1" si="6"/>
        <v>769.07066675145336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7218.1140990915901</v>
      </c>
    </row>
    <row r="23" spans="1:17">
      <c r="A23" s="460" t="s">
        <v>195</v>
      </c>
      <c r="B23" s="461">
        <f t="shared" ca="1" si="2"/>
        <v>123.40337110424478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123.40337110424478</v>
      </c>
    </row>
    <row r="24" spans="1:17">
      <c r="A24" s="460" t="s">
        <v>112</v>
      </c>
      <c r="B24" s="461">
        <f t="shared" ca="1" si="2"/>
        <v>66.031858398866888</v>
      </c>
      <c r="C24" s="461">
        <f t="shared" ca="1" si="3"/>
        <v>0</v>
      </c>
      <c r="D24" s="461">
        <f t="shared" si="4"/>
        <v>321.03811879053728</v>
      </c>
      <c r="E24" s="461">
        <f t="shared" si="5"/>
        <v>0.71835692687067698</v>
      </c>
      <c r="F24" s="461">
        <f t="shared" si="6"/>
        <v>414.4055421906358</v>
      </c>
      <c r="G24" s="461">
        <f t="shared" si="7"/>
        <v>0</v>
      </c>
      <c r="H24" s="461">
        <f t="shared" si="8"/>
        <v>0</v>
      </c>
      <c r="I24" s="461">
        <f t="shared" si="9"/>
        <v>0</v>
      </c>
      <c r="J24" s="461">
        <f t="shared" si="10"/>
        <v>9.5537555376069196</v>
      </c>
      <c r="K24" s="461">
        <f t="shared" si="11"/>
        <v>0</v>
      </c>
      <c r="L24" s="461">
        <f t="shared" si="12"/>
        <v>0</v>
      </c>
      <c r="M24" s="461">
        <f t="shared" si="13"/>
        <v>0</v>
      </c>
      <c r="N24" s="461">
        <f t="shared" si="14"/>
        <v>0</v>
      </c>
      <c r="O24" s="461">
        <f t="shared" si="15"/>
        <v>0</v>
      </c>
      <c r="P24" s="462">
        <f t="shared" si="16"/>
        <v>0</v>
      </c>
      <c r="Q24" s="460">
        <f t="shared" ca="1" si="17"/>
        <v>811.74763184451751</v>
      </c>
    </row>
    <row r="25" spans="1:17">
      <c r="A25" s="460" t="s">
        <v>656</v>
      </c>
      <c r="B25" s="461">
        <f t="shared" ca="1" si="2"/>
        <v>387.36286140794516</v>
      </c>
      <c r="C25" s="461">
        <f t="shared" ca="1" si="3"/>
        <v>0</v>
      </c>
      <c r="D25" s="461">
        <f t="shared" si="4"/>
        <v>206.47745099594135</v>
      </c>
      <c r="E25" s="461">
        <f t="shared" si="5"/>
        <v>4.8099277487392333</v>
      </c>
      <c r="F25" s="461">
        <f t="shared" si="6"/>
        <v>193.35809005308494</v>
      </c>
      <c r="G25" s="461">
        <f t="shared" si="7"/>
        <v>0</v>
      </c>
      <c r="H25" s="461">
        <f t="shared" si="8"/>
        <v>0</v>
      </c>
      <c r="I25" s="461">
        <f t="shared" si="9"/>
        <v>0</v>
      </c>
      <c r="J25" s="461">
        <f t="shared" si="10"/>
        <v>2.2882033462453237</v>
      </c>
      <c r="K25" s="461">
        <f t="shared" si="11"/>
        <v>0</v>
      </c>
      <c r="L25" s="461">
        <f t="shared" si="12"/>
        <v>0</v>
      </c>
      <c r="M25" s="461">
        <f t="shared" si="13"/>
        <v>0</v>
      </c>
      <c r="N25" s="461">
        <f t="shared" si="14"/>
        <v>0</v>
      </c>
      <c r="O25" s="461">
        <f t="shared" si="15"/>
        <v>0</v>
      </c>
      <c r="P25" s="462">
        <f t="shared" si="16"/>
        <v>0</v>
      </c>
      <c r="Q25" s="460">
        <f t="shared" ca="1" si="17"/>
        <v>794.29653355195603</v>
      </c>
    </row>
    <row r="26" spans="1:17" s="466" customFormat="1">
      <c r="A26" s="464" t="s">
        <v>574</v>
      </c>
      <c r="B26" s="822">
        <f t="shared" ca="1" si="2"/>
        <v>8.2004835298415069E-2</v>
      </c>
      <c r="C26" s="465">
        <f t="shared" ca="1" si="3"/>
        <v>0</v>
      </c>
      <c r="D26" s="465">
        <f t="shared" si="4"/>
        <v>0.37457405232326191</v>
      </c>
      <c r="E26" s="465">
        <f t="shared" si="5"/>
        <v>42.698320391705835</v>
      </c>
      <c r="F26" s="465">
        <f t="shared" si="6"/>
        <v>0</v>
      </c>
      <c r="G26" s="465">
        <f t="shared" si="7"/>
        <v>9380.0134733447812</v>
      </c>
      <c r="H26" s="465">
        <f t="shared" si="8"/>
        <v>1536.3908052280458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10959.559177852154</v>
      </c>
    </row>
    <row r="27" spans="1:17">
      <c r="A27" s="460" t="s">
        <v>564</v>
      </c>
      <c r="B27" s="461">
        <f t="shared" ca="1" si="2"/>
        <v>0</v>
      </c>
      <c r="C27" s="461">
        <f t="shared" ca="1" si="3"/>
        <v>0</v>
      </c>
      <c r="D27" s="461">
        <f t="shared" si="4"/>
        <v>0</v>
      </c>
      <c r="E27" s="461">
        <f t="shared" si="5"/>
        <v>0</v>
      </c>
      <c r="F27" s="461">
        <f t="shared" si="6"/>
        <v>0</v>
      </c>
      <c r="G27" s="461">
        <f t="shared" si="7"/>
        <v>190.53165778328361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190.53165778328361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8891.5623249051132</v>
      </c>
      <c r="C31" s="471">
        <f t="shared" ca="1" si="18"/>
        <v>0</v>
      </c>
      <c r="D31" s="471">
        <f t="shared" ca="1" si="18"/>
        <v>7246.8573070527054</v>
      </c>
      <c r="E31" s="471">
        <f t="shared" si="18"/>
        <v>489.97573393954622</v>
      </c>
      <c r="F31" s="471">
        <f t="shared" ca="1" si="18"/>
        <v>11156.858161153466</v>
      </c>
      <c r="G31" s="471">
        <f t="shared" si="18"/>
        <v>9570.5451311280649</v>
      </c>
      <c r="H31" s="471">
        <f t="shared" si="18"/>
        <v>1536.3908052280458</v>
      </c>
      <c r="I31" s="471">
        <f t="shared" si="18"/>
        <v>0</v>
      </c>
      <c r="J31" s="471">
        <f t="shared" si="18"/>
        <v>78.864042266403487</v>
      </c>
      <c r="K31" s="471">
        <f t="shared" si="18"/>
        <v>0</v>
      </c>
      <c r="L31" s="471">
        <f t="shared" ca="1" si="18"/>
        <v>0</v>
      </c>
      <c r="M31" s="471">
        <f t="shared" si="18"/>
        <v>0</v>
      </c>
      <c r="N31" s="471">
        <f t="shared" ca="1" si="18"/>
        <v>0</v>
      </c>
      <c r="O31" s="471">
        <f t="shared" si="18"/>
        <v>0</v>
      </c>
      <c r="P31" s="472">
        <f t="shared" si="18"/>
        <v>0</v>
      </c>
      <c r="Q31" s="472">
        <f t="shared" ca="1" si="18"/>
        <v>38971.053505673342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0.21851321420659167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0.21851321420659167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0.21851321420659167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44064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3401</v>
      </c>
      <c r="C9" s="336">
        <v>3460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378</v>
      </c>
    </row>
    <row r="15" spans="1:6">
      <c r="A15" s="1194" t="s">
        <v>185</v>
      </c>
      <c r="B15" s="333">
        <v>0</v>
      </c>
    </row>
    <row r="16" spans="1:6">
      <c r="A16" s="1194" t="s">
        <v>6</v>
      </c>
      <c r="B16" s="333">
        <v>0</v>
      </c>
    </row>
    <row r="17" spans="1:6">
      <c r="A17" s="1194" t="s">
        <v>7</v>
      </c>
      <c r="B17" s="333">
        <v>26</v>
      </c>
    </row>
    <row r="18" spans="1:6">
      <c r="A18" s="1194" t="s">
        <v>8</v>
      </c>
      <c r="B18" s="333">
        <v>12</v>
      </c>
    </row>
    <row r="19" spans="1:6">
      <c r="A19" s="1194" t="s">
        <v>9</v>
      </c>
      <c r="B19" s="333">
        <v>22</v>
      </c>
    </row>
    <row r="20" spans="1:6">
      <c r="A20" s="1194" t="s">
        <v>10</v>
      </c>
      <c r="B20" s="333">
        <v>28</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15</v>
      </c>
    </row>
    <row r="27" spans="1:6">
      <c r="A27" s="1194" t="s">
        <v>17</v>
      </c>
      <c r="B27" s="333">
        <v>0</v>
      </c>
    </row>
    <row r="28" spans="1:6">
      <c r="A28" s="1194" t="s">
        <v>18</v>
      </c>
      <c r="B28" s="333">
        <v>0</v>
      </c>
    </row>
    <row r="29" spans="1:6">
      <c r="A29" s="1194" t="s">
        <v>888</v>
      </c>
      <c r="B29" s="333">
        <v>44</v>
      </c>
    </row>
    <row r="30" spans="1:6">
      <c r="A30" s="1190" t="s">
        <v>889</v>
      </c>
      <c r="B30" s="1190">
        <v>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14244.768592629</v>
      </c>
    </row>
    <row r="39" spans="1:6">
      <c r="A39" s="1194" t="s">
        <v>30</v>
      </c>
      <c r="B39" s="1194" t="s">
        <v>31</v>
      </c>
      <c r="C39" s="333">
        <v>974</v>
      </c>
      <c r="D39" s="333">
        <v>22002013.699585199</v>
      </c>
      <c r="E39" s="333">
        <v>3022</v>
      </c>
      <c r="F39" s="333">
        <v>20969874.7349074</v>
      </c>
    </row>
    <row r="40" spans="1:6">
      <c r="A40" s="1194" t="s">
        <v>30</v>
      </c>
      <c r="B40" s="1194" t="s">
        <v>29</v>
      </c>
      <c r="C40" s="333">
        <v>0</v>
      </c>
      <c r="D40" s="333">
        <v>0</v>
      </c>
      <c r="E40" s="333">
        <v>1</v>
      </c>
      <c r="F40" s="333">
        <v>693.78128301219999</v>
      </c>
    </row>
    <row r="41" spans="1:6">
      <c r="A41" s="1194" t="s">
        <v>32</v>
      </c>
      <c r="B41" s="1194" t="s">
        <v>33</v>
      </c>
      <c r="C41" s="333">
        <v>7</v>
      </c>
      <c r="D41" s="333">
        <v>143230.12219509101</v>
      </c>
      <c r="E41" s="333">
        <v>58</v>
      </c>
      <c r="F41" s="333">
        <v>662717.94299653603</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23</v>
      </c>
      <c r="D48" s="333">
        <v>989991.162716005</v>
      </c>
      <c r="E48" s="333">
        <v>54</v>
      </c>
      <c r="F48" s="333">
        <v>700793.17906770401</v>
      </c>
    </row>
    <row r="49" spans="1:6">
      <c r="A49" s="1194" t="s">
        <v>32</v>
      </c>
      <c r="B49" s="1194" t="s">
        <v>40</v>
      </c>
      <c r="C49" s="333">
        <v>0</v>
      </c>
      <c r="D49" s="333">
        <v>0</v>
      </c>
      <c r="E49" s="333">
        <v>0</v>
      </c>
      <c r="F49" s="333">
        <v>0</v>
      </c>
    </row>
    <row r="50" spans="1:6">
      <c r="A50" s="1194" t="s">
        <v>32</v>
      </c>
      <c r="B50" s="1194" t="s">
        <v>41</v>
      </c>
      <c r="C50" s="333">
        <v>0</v>
      </c>
      <c r="D50" s="333">
        <v>0</v>
      </c>
      <c r="E50" s="333">
        <v>5</v>
      </c>
      <c r="F50" s="333">
        <v>409209.41025888</v>
      </c>
    </row>
    <row r="51" spans="1:6">
      <c r="A51" s="1194" t="s">
        <v>42</v>
      </c>
      <c r="B51" s="1194" t="s">
        <v>43</v>
      </c>
      <c r="C51" s="333">
        <v>4</v>
      </c>
      <c r="D51" s="333">
        <v>29993.0850371263</v>
      </c>
      <c r="E51" s="333">
        <v>20</v>
      </c>
      <c r="F51" s="333">
        <v>79423.617425013203</v>
      </c>
    </row>
    <row r="52" spans="1:6">
      <c r="A52" s="1194" t="s">
        <v>42</v>
      </c>
      <c r="B52" s="1194" t="s">
        <v>29</v>
      </c>
      <c r="C52" s="333">
        <v>2</v>
      </c>
      <c r="D52" s="333">
        <v>51652.777384479501</v>
      </c>
      <c r="E52" s="333">
        <v>12</v>
      </c>
      <c r="F52" s="333">
        <v>222763.408831612</v>
      </c>
    </row>
    <row r="53" spans="1:6">
      <c r="A53" s="1194" t="s">
        <v>44</v>
      </c>
      <c r="B53" s="1194" t="s">
        <v>45</v>
      </c>
      <c r="C53" s="333">
        <v>74</v>
      </c>
      <c r="D53" s="333">
        <v>1680324.88899185</v>
      </c>
      <c r="E53" s="333">
        <v>179</v>
      </c>
      <c r="F53" s="333">
        <v>1506759.9352289101</v>
      </c>
    </row>
    <row r="54" spans="1:6">
      <c r="A54" s="1194" t="s">
        <v>46</v>
      </c>
      <c r="B54" s="1194" t="s">
        <v>47</v>
      </c>
      <c r="C54" s="333">
        <v>0</v>
      </c>
      <c r="D54" s="333">
        <v>0</v>
      </c>
      <c r="E54" s="333">
        <v>2</v>
      </c>
      <c r="F54" s="333">
        <v>564741</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7</v>
      </c>
      <c r="D57" s="333">
        <v>183121.19038920299</v>
      </c>
      <c r="E57" s="333">
        <v>22</v>
      </c>
      <c r="F57" s="333">
        <v>618953.70171974797</v>
      </c>
    </row>
    <row r="58" spans="1:6">
      <c r="A58" s="1194" t="s">
        <v>49</v>
      </c>
      <c r="B58" s="1194" t="s">
        <v>51</v>
      </c>
      <c r="C58" s="333">
        <v>6</v>
      </c>
      <c r="D58" s="333">
        <v>211767.56956451299</v>
      </c>
      <c r="E58" s="333">
        <v>31</v>
      </c>
      <c r="F58" s="333">
        <v>616941.18962597102</v>
      </c>
    </row>
    <row r="59" spans="1:6">
      <c r="A59" s="1194" t="s">
        <v>49</v>
      </c>
      <c r="B59" s="1194" t="s">
        <v>52</v>
      </c>
      <c r="C59" s="333">
        <v>46</v>
      </c>
      <c r="D59" s="333">
        <v>2031477.4304849999</v>
      </c>
      <c r="E59" s="333">
        <v>130</v>
      </c>
      <c r="F59" s="333">
        <v>3249123.0514022298</v>
      </c>
    </row>
    <row r="60" spans="1:6">
      <c r="A60" s="1194" t="s">
        <v>49</v>
      </c>
      <c r="B60" s="1194" t="s">
        <v>53</v>
      </c>
      <c r="C60" s="333">
        <v>32</v>
      </c>
      <c r="D60" s="333">
        <v>1856026.1802634301</v>
      </c>
      <c r="E60" s="333">
        <v>68</v>
      </c>
      <c r="F60" s="333">
        <v>1931158.9849499101</v>
      </c>
    </row>
    <row r="61" spans="1:6">
      <c r="A61" s="1194" t="s">
        <v>49</v>
      </c>
      <c r="B61" s="1194" t="s">
        <v>54</v>
      </c>
      <c r="C61" s="333">
        <v>160</v>
      </c>
      <c r="D61" s="333">
        <v>5501419.6570675597</v>
      </c>
      <c r="E61" s="333">
        <v>417</v>
      </c>
      <c r="F61" s="333">
        <v>6428877.9428379703</v>
      </c>
    </row>
    <row r="62" spans="1:6">
      <c r="A62" s="1194" t="s">
        <v>49</v>
      </c>
      <c r="B62" s="1194" t="s">
        <v>55</v>
      </c>
      <c r="C62" s="333">
        <v>0</v>
      </c>
      <c r="D62" s="333">
        <v>0</v>
      </c>
      <c r="E62" s="333">
        <v>0</v>
      </c>
      <c r="F62" s="333">
        <v>0</v>
      </c>
    </row>
    <row r="63" spans="1:6">
      <c r="A63" s="1194" t="s">
        <v>49</v>
      </c>
      <c r="B63" s="1194" t="s">
        <v>29</v>
      </c>
      <c r="C63" s="333">
        <v>119</v>
      </c>
      <c r="D63" s="333">
        <v>5090242.6532179797</v>
      </c>
      <c r="E63" s="333">
        <v>169</v>
      </c>
      <c r="F63" s="333">
        <v>3812320.5754149002</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45820.097175072799</v>
      </c>
      <c r="E68" s="333">
        <v>4</v>
      </c>
      <c r="F68" s="333">
        <v>30123.881043701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38350139</v>
      </c>
      <c r="E73" s="333">
        <v>40411298.828270592</v>
      </c>
      <c r="F73" s="333">
        <v>38772279</v>
      </c>
    </row>
    <row r="74" spans="1:6">
      <c r="A74" s="1194" t="s">
        <v>64</v>
      </c>
      <c r="B74" s="1194" t="s">
        <v>775</v>
      </c>
      <c r="C74" s="1205" t="s">
        <v>776</v>
      </c>
      <c r="D74" s="333">
        <v>4053788.7572689555</v>
      </c>
      <c r="E74" s="333">
        <v>4430404.8305597631</v>
      </c>
      <c r="F74" s="333">
        <v>4282607.6234633494</v>
      </c>
    </row>
    <row r="75" spans="1:6">
      <c r="A75" s="1194" t="s">
        <v>65</v>
      </c>
      <c r="B75" s="1194" t="s">
        <v>773</v>
      </c>
      <c r="C75" s="1205" t="s">
        <v>777</v>
      </c>
      <c r="D75" s="333">
        <v>8654388</v>
      </c>
      <c r="E75" s="333">
        <v>8829755.5214708634</v>
      </c>
      <c r="F75" s="333">
        <v>8459205</v>
      </c>
    </row>
    <row r="76" spans="1:6">
      <c r="A76" s="1194" t="s">
        <v>65</v>
      </c>
      <c r="B76" s="1194" t="s">
        <v>775</v>
      </c>
      <c r="C76" s="1205" t="s">
        <v>778</v>
      </c>
      <c r="D76" s="333">
        <v>494719.75726895547</v>
      </c>
      <c r="E76" s="333">
        <v>539686.44980508601</v>
      </c>
      <c r="F76" s="333">
        <v>515660.62346334936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195650.48546208904</v>
      </c>
      <c r="C83" s="333">
        <v>178751.71167409047</v>
      </c>
      <c r="D83" s="333">
        <v>176176.75307330128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423.22040038434454</v>
      </c>
    </row>
    <row r="92" spans="1:6">
      <c r="A92" s="1190" t="s">
        <v>69</v>
      </c>
      <c r="B92" s="336">
        <v>34.654118842022655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510</v>
      </c>
    </row>
    <row r="98" spans="1:6">
      <c r="A98" s="1194" t="s">
        <v>72</v>
      </c>
      <c r="B98" s="333">
        <v>1</v>
      </c>
    </row>
    <row r="99" spans="1:6">
      <c r="A99" s="1194" t="s">
        <v>73</v>
      </c>
      <c r="B99" s="333">
        <v>50</v>
      </c>
    </row>
    <row r="100" spans="1:6">
      <c r="A100" s="1194" t="s">
        <v>74</v>
      </c>
      <c r="B100" s="333">
        <v>478</v>
      </c>
    </row>
    <row r="101" spans="1:6">
      <c r="A101" s="1194" t="s">
        <v>75</v>
      </c>
      <c r="B101" s="333">
        <v>15</v>
      </c>
    </row>
    <row r="102" spans="1:6">
      <c r="A102" s="1194" t="s">
        <v>76</v>
      </c>
      <c r="B102" s="333">
        <v>62</v>
      </c>
    </row>
    <row r="103" spans="1:6">
      <c r="A103" s="1194" t="s">
        <v>77</v>
      </c>
      <c r="B103" s="333">
        <v>53</v>
      </c>
    </row>
    <row r="104" spans="1:6">
      <c r="A104" s="1194" t="s">
        <v>78</v>
      </c>
      <c r="B104" s="333">
        <v>2024</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12</v>
      </c>
      <c r="C123" s="333">
        <v>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19</v>
      </c>
    </row>
    <row r="130" spans="1:6">
      <c r="A130" s="1194" t="s">
        <v>296</v>
      </c>
      <c r="B130" s="333">
        <v>1</v>
      </c>
    </row>
    <row r="131" spans="1:6">
      <c r="A131" s="1194" t="s">
        <v>297</v>
      </c>
      <c r="B131" s="333">
        <v>1</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40691.18820657982</v>
      </c>
      <c r="C3" s="43" t="s">
        <v>171</v>
      </c>
      <c r="D3" s="43"/>
      <c r="E3" s="156"/>
      <c r="F3" s="43"/>
      <c r="G3" s="43"/>
      <c r="H3" s="43"/>
      <c r="I3" s="43"/>
      <c r="J3" s="43"/>
      <c r="K3" s="96"/>
    </row>
    <row r="4" spans="1:11">
      <c r="A4" s="364" t="s">
        <v>172</v>
      </c>
      <c r="B4" s="49">
        <f>IF(ISERROR('SEAP template'!B69),0,'SEAP template'!B69)</f>
        <v>457.87451922636717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0.21851321420659167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564.74099999999999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564.74099999999999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0.21851321420659167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123.40337110424478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20970.568516190415</v>
      </c>
      <c r="C5" s="17">
        <f>IF(ISERROR('Eigen informatie GS &amp; warmtenet'!B57),0,'Eigen informatie GS &amp; warmtenet'!B57)</f>
        <v>0</v>
      </c>
      <c r="D5" s="30">
        <f>(SUM(HH_hh_gas_kWh,HH_rest_gas_kWh)/1000)*0.902</f>
        <v>19845.816357025851</v>
      </c>
      <c r="E5" s="17">
        <f>B46*B57</f>
        <v>1509.5797558036402</v>
      </c>
      <c r="F5" s="17">
        <f>B51*B62</f>
        <v>36629.302854525435</v>
      </c>
      <c r="G5" s="18"/>
      <c r="H5" s="17"/>
      <c r="I5" s="17"/>
      <c r="J5" s="17">
        <f>B50*B61+C50*C61</f>
        <v>189.32791915974929</v>
      </c>
      <c r="K5" s="17"/>
      <c r="L5" s="17"/>
      <c r="M5" s="17"/>
      <c r="N5" s="17">
        <f>B48*B59+C48*C59</f>
        <v>1310.3195439037395</v>
      </c>
      <c r="O5" s="17">
        <f>B69*B70*B71</f>
        <v>34.393333333333338</v>
      </c>
      <c r="P5" s="17">
        <f>B77*B78*B79/1000-B77*B78*B79/1000/B80</f>
        <v>324.13333333333333</v>
      </c>
    </row>
    <row r="6" spans="1:16">
      <c r="A6" s="16" t="s">
        <v>633</v>
      </c>
      <c r="B6" s="830">
        <f>kWh_PV_kleiner_dan_10kW</f>
        <v>423.22040038434454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21393.788916574758</v>
      </c>
      <c r="C8" s="21">
        <f>C5</f>
        <v>0</v>
      </c>
      <c r="D8" s="21">
        <f>D5</f>
        <v>19845.816357025851</v>
      </c>
      <c r="E8" s="21">
        <f>E5</f>
        <v>1509.5797558036402</v>
      </c>
      <c r="F8" s="21">
        <f>F5</f>
        <v>36629.302854525435</v>
      </c>
      <c r="G8" s="21"/>
      <c r="H8" s="21"/>
      <c r="I8" s="21"/>
      <c r="J8" s="21">
        <f>J5</f>
        <v>189.32791915974929</v>
      </c>
      <c r="K8" s="21"/>
      <c r="L8" s="21">
        <f>L5</f>
        <v>0</v>
      </c>
      <c r="M8" s="21">
        <f>M5</f>
        <v>0</v>
      </c>
      <c r="N8" s="21">
        <f>N5</f>
        <v>1310.3195439037395</v>
      </c>
      <c r="O8" s="21">
        <f>O5</f>
        <v>34.393333333333338</v>
      </c>
      <c r="P8" s="21">
        <f>P5</f>
        <v>324.13333333333333</v>
      </c>
    </row>
    <row r="9" spans="1:16">
      <c r="B9" s="19"/>
      <c r="C9" s="19"/>
      <c r="D9" s="260"/>
      <c r="E9" s="19"/>
      <c r="F9" s="19"/>
      <c r="G9" s="19"/>
      <c r="H9" s="19"/>
      <c r="I9" s="19"/>
      <c r="J9" s="19"/>
      <c r="K9" s="19"/>
      <c r="L9" s="19"/>
      <c r="M9" s="19"/>
      <c r="N9" s="19"/>
      <c r="O9" s="19"/>
      <c r="P9" s="19"/>
    </row>
    <row r="10" spans="1:16">
      <c r="A10" s="24" t="s">
        <v>215</v>
      </c>
      <c r="B10" s="25">
        <f ca="1">'EF ele_warmte'!B12</f>
        <v>0.21851321420659167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4674.8255802181066</v>
      </c>
      <c r="C12" s="23">
        <f ca="1">C10*C8</f>
        <v>0</v>
      </c>
      <c r="D12" s="23">
        <f>D8*D10</f>
        <v>4008.8549041192223</v>
      </c>
      <c r="E12" s="23">
        <f>E10*E8</f>
        <v>342.67460456742634</v>
      </c>
      <c r="F12" s="23">
        <f>F10*F8</f>
        <v>9780.0238621582921</v>
      </c>
      <c r="G12" s="23"/>
      <c r="H12" s="23"/>
      <c r="I12" s="23"/>
      <c r="J12" s="23">
        <f>J10*J8</f>
        <v>67.022083382551244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510</v>
      </c>
      <c r="C18" s="167" t="s">
        <v>111</v>
      </c>
      <c r="D18" s="229"/>
      <c r="E18" s="15"/>
    </row>
    <row r="19" spans="1:7">
      <c r="A19" s="172" t="s">
        <v>72</v>
      </c>
      <c r="B19" s="37">
        <f>aantalw2001_ander</f>
        <v>1</v>
      </c>
      <c r="C19" s="167" t="s">
        <v>111</v>
      </c>
      <c r="D19" s="230"/>
      <c r="E19" s="15"/>
    </row>
    <row r="20" spans="1:7">
      <c r="A20" s="172" t="s">
        <v>73</v>
      </c>
      <c r="B20" s="37">
        <f>aantalw2001_propaan</f>
        <v>50</v>
      </c>
      <c r="C20" s="168">
        <f>IF(ISERROR(B20/SUM($B$20,$B$21,$B$22)*100),0,B20/SUM($B$20,$B$21,$B$22)*100)</f>
        <v>9.2081031307550649</v>
      </c>
      <c r="D20" s="230"/>
      <c r="E20" s="15"/>
    </row>
    <row r="21" spans="1:7">
      <c r="A21" s="172" t="s">
        <v>74</v>
      </c>
      <c r="B21" s="37">
        <f>aantalw2001_elektriciteit</f>
        <v>478</v>
      </c>
      <c r="C21" s="168">
        <f>IF(ISERROR(B21/SUM($B$20,$B$21,$B$22)*100),0,B21/SUM($B$20,$B$21,$B$22)*100)</f>
        <v>88.029465930018418</v>
      </c>
      <c r="D21" s="230"/>
      <c r="E21" s="15"/>
    </row>
    <row r="22" spans="1:7">
      <c r="A22" s="172" t="s">
        <v>75</v>
      </c>
      <c r="B22" s="37">
        <f>aantalw2001_hout</f>
        <v>15</v>
      </c>
      <c r="C22" s="168">
        <f>IF(ISERROR(B22/SUM($B$20,$B$21,$B$22)*100),0,B22/SUM($B$20,$B$21,$B$22)*100)</f>
        <v>2.7624309392265194</v>
      </c>
      <c r="D22" s="230"/>
      <c r="E22" s="15"/>
    </row>
    <row r="23" spans="1:7">
      <c r="A23" s="172" t="s">
        <v>76</v>
      </c>
      <c r="B23" s="37">
        <f>aantalw2001_niet_gespec</f>
        <v>62</v>
      </c>
      <c r="C23" s="167" t="s">
        <v>111</v>
      </c>
      <c r="D23" s="229"/>
      <c r="E23" s="15"/>
    </row>
    <row r="24" spans="1:7">
      <c r="A24" s="172" t="s">
        <v>77</v>
      </c>
      <c r="B24" s="37">
        <f>aantalw2001_steenkool</f>
        <v>53</v>
      </c>
      <c r="C24" s="167" t="s">
        <v>111</v>
      </c>
      <c r="D24" s="230"/>
      <c r="E24" s="15"/>
    </row>
    <row r="25" spans="1:7">
      <c r="A25" s="172" t="s">
        <v>78</v>
      </c>
      <c r="B25" s="37">
        <f>aantalw2001_stookolie</f>
        <v>2024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3401</v>
      </c>
      <c r="C28" s="36"/>
      <c r="D28" s="229"/>
    </row>
    <row r="29" spans="1:7" s="15" customFormat="1">
      <c r="A29" s="231" t="s">
        <v>714</v>
      </c>
      <c r="B29" s="37">
        <f>SUM(HH_hh_gas_aantal,HH_rest_gas_aantal)</f>
        <v>974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974</v>
      </c>
      <c r="C32" s="168">
        <f>IF(ISERROR(B32/SUM($B$32,$B$34,$B$35,$B$36,$B$38,$B$39)*100),0,B32/SUM($B$32,$B$34,$B$35,$B$36,$B$38,$B$39)*100)</f>
        <v>28.782505910165483</v>
      </c>
      <c r="D32" s="234"/>
      <c r="G32" s="15"/>
    </row>
    <row r="33" spans="1:7">
      <c r="A33" s="172" t="s">
        <v>72</v>
      </c>
      <c r="B33" s="34" t="s">
        <v>111</v>
      </c>
      <c r="C33" s="168"/>
      <c r="D33" s="234"/>
      <c r="G33" s="15"/>
    </row>
    <row r="34" spans="1:7">
      <c r="A34" s="172" t="s">
        <v>73</v>
      </c>
      <c r="B34" s="33">
        <f>IF((($B$28-$B$32-$B$39-$B$77-$B$38)*C20/100)&lt;0,0,($B$28-$B$32-$B$39-$B$77-$B$38)*C20/100)</f>
        <v>73.38858195211786</v>
      </c>
      <c r="C34" s="168">
        <f>IF(ISERROR(B34/SUM($B$32,$B$34,$B$35,$B$36,$B$38,$B$39)*100),0,B34/SUM($B$32,$B$34,$B$35,$B$36,$B$38,$B$39)*100)</f>
        <v>2.1686933200980456</v>
      </c>
      <c r="D34" s="234"/>
      <c r="G34" s="15"/>
    </row>
    <row r="35" spans="1:7">
      <c r="A35" s="172" t="s">
        <v>74</v>
      </c>
      <c r="B35" s="33">
        <f>IF((($B$28-$B$32-$B$39-$B$77-$B$38)*C21/100)&lt;0,0,($B$28-$B$32-$B$39-$B$77-$B$38)*C21/100)</f>
        <v>701.59484346224667</v>
      </c>
      <c r="C35" s="168">
        <f>IF(ISERROR(B35/SUM($B$32,$B$34,$B$35,$B$36,$B$38,$B$39)*100),0,B35/SUM($B$32,$B$34,$B$35,$B$36,$B$38,$B$39)*100)</f>
        <v>20.732708140137312</v>
      </c>
      <c r="D35" s="234"/>
      <c r="G35" s="15"/>
    </row>
    <row r="36" spans="1:7">
      <c r="A36" s="172" t="s">
        <v>75</v>
      </c>
      <c r="B36" s="33">
        <f>IF((($B$28-$B$32-$B$39-$B$77-$B$38)*C22/100)&lt;0,0,($B$28-$B$32-$B$39-$B$77-$B$38)*C22/100)</f>
        <v>22.016574585635357</v>
      </c>
      <c r="C36" s="168">
        <f>IF(ISERROR(B36/SUM($B$32,$B$34,$B$35,$B$36,$B$38,$B$39)*100),0,B36/SUM($B$32,$B$34,$B$35,$B$36,$B$38,$B$39)*100)</f>
        <v>0.65060799602941366</v>
      </c>
      <c r="D36" s="234"/>
      <c r="G36" s="15"/>
    </row>
    <row r="37" spans="1:7">
      <c r="A37" s="172" t="s">
        <v>76</v>
      </c>
      <c r="B37" s="34" t="s">
        <v>111</v>
      </c>
      <c r="C37" s="168"/>
      <c r="D37" s="174"/>
      <c r="G37" s="15"/>
    </row>
    <row r="38" spans="1:7">
      <c r="A38" s="172" t="s">
        <v>77</v>
      </c>
      <c r="B38" s="33">
        <f>IF((B24-(B29-B18)*0.1)&lt;0,0,B24-(B29-B18)*0.1)</f>
        <v>6.5999999999999943</v>
      </c>
      <c r="C38" s="168">
        <f>IF(ISERROR(B38/SUM($B$32,$B$34,$B$35,$B$36,$B$38,$B$39)*100),0,B38/SUM($B$32,$B$34,$B$35,$B$36,$B$38,$B$39)*100)</f>
        <v>0.19503546099290764</v>
      </c>
      <c r="D38" s="235"/>
      <c r="G38" s="15"/>
    </row>
    <row r="39" spans="1:7">
      <c r="A39" s="172" t="s">
        <v>78</v>
      </c>
      <c r="B39" s="33">
        <f>IF((B25-(B29-B18))&lt;0,0,B25-(B29-B18)*0.9)</f>
        <v>1606.4</v>
      </c>
      <c r="C39" s="168">
        <f>IF(ISERROR(B39/SUM($B$32,$B$34,$B$35,$B$36,$B$38,$B$39)*100),0,B39/SUM($B$32,$B$34,$B$35,$B$36,$B$38,$B$39)*100)</f>
        <v>47.470449172576835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974</v>
      </c>
      <c r="C44" s="34" t="s">
        <v>111</v>
      </c>
      <c r="D44" s="175"/>
    </row>
    <row r="45" spans="1:7">
      <c r="A45" s="172" t="s">
        <v>72</v>
      </c>
      <c r="B45" s="33" t="str">
        <f t="shared" si="0"/>
        <v>-</v>
      </c>
      <c r="C45" s="34" t="s">
        <v>111</v>
      </c>
      <c r="D45" s="175"/>
    </row>
    <row r="46" spans="1:7">
      <c r="A46" s="172" t="s">
        <v>73</v>
      </c>
      <c r="B46" s="33">
        <f t="shared" si="0"/>
        <v>73.38858195211786</v>
      </c>
      <c r="C46" s="34" t="s">
        <v>111</v>
      </c>
      <c r="D46" s="175"/>
    </row>
    <row r="47" spans="1:7">
      <c r="A47" s="172" t="s">
        <v>74</v>
      </c>
      <c r="B47" s="33">
        <f t="shared" si="0"/>
        <v>701.59484346224667</v>
      </c>
      <c r="C47" s="34" t="s">
        <v>111</v>
      </c>
      <c r="D47" s="175"/>
    </row>
    <row r="48" spans="1:7">
      <c r="A48" s="172" t="s">
        <v>75</v>
      </c>
      <c r="B48" s="33">
        <f t="shared" si="0"/>
        <v>22.016574585635357</v>
      </c>
      <c r="C48" s="33">
        <f>B48*10</f>
        <v>220.16574585635357</v>
      </c>
      <c r="D48" s="235"/>
    </row>
    <row r="49" spans="1:6">
      <c r="A49" s="172" t="s">
        <v>76</v>
      </c>
      <c r="B49" s="33" t="str">
        <f t="shared" si="0"/>
        <v>-</v>
      </c>
      <c r="C49" s="34" t="s">
        <v>111</v>
      </c>
      <c r="D49" s="235"/>
    </row>
    <row r="50" spans="1:6">
      <c r="A50" s="172" t="s">
        <v>77</v>
      </c>
      <c r="B50" s="33">
        <f t="shared" si="0"/>
        <v>6.5999999999999943</v>
      </c>
      <c r="C50" s="33">
        <f>B50*2</f>
        <v>13.199999999999989</v>
      </c>
      <c r="D50" s="235"/>
    </row>
    <row r="51" spans="1:6">
      <c r="A51" s="172" t="s">
        <v>78</v>
      </c>
      <c r="B51" s="33">
        <f t="shared" si="0"/>
        <v>1606.4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16657.375445950729</v>
      </c>
      <c r="C5" s="17">
        <f>IF(ISERROR('Eigen informatie GS &amp; warmtenet'!B58),0,'Eigen informatie GS &amp; warmtenet'!B58)</f>
        <v>0</v>
      </c>
      <c r="D5" s="30">
        <f>SUM(D6:D12)</f>
        <v>13416.39732225089</v>
      </c>
      <c r="E5" s="17">
        <f>SUM(E6:E12)</f>
        <v>436.451648919842</v>
      </c>
      <c r="F5" s="17">
        <f>SUM(F6:F12)</f>
        <v>2880.4144822151811</v>
      </c>
      <c r="G5" s="18"/>
      <c r="H5" s="17"/>
      <c r="I5" s="17"/>
      <c r="J5" s="17">
        <f>SUM(J6:J12)</f>
        <v>0</v>
      </c>
      <c r="K5" s="17"/>
      <c r="L5" s="17"/>
      <c r="M5" s="17"/>
      <c r="N5" s="17">
        <f>SUM(N6:N12)</f>
        <v>307.3280195945668</v>
      </c>
      <c r="O5" s="17">
        <f>B38*B39*B40</f>
        <v>1.5633333333333335</v>
      </c>
      <c r="P5" s="17">
        <f>B46*B47*B48/1000-B46*B47*B48/1000/B49</f>
        <v>19.066666666666666</v>
      </c>
      <c r="R5" s="32"/>
    </row>
    <row r="6" spans="1:18">
      <c r="A6" s="32" t="s">
        <v>54</v>
      </c>
      <c r="B6" s="37">
        <f>B26</f>
        <v>6428.8779428379703</v>
      </c>
      <c r="C6" s="33"/>
      <c r="D6" s="37">
        <f>IF(ISERROR(TER_kantoor_gas_kWh/1000),0,TER_kantoor_gas_kWh/1000)*0.902</f>
        <v>4962.2805306749387</v>
      </c>
      <c r="E6" s="33">
        <f>$C$26*'E Balans VL '!I12/100/3.6*1000000</f>
        <v>225.03601757630494</v>
      </c>
      <c r="F6" s="33">
        <f>$C$26*('E Balans VL '!L12+'E Balans VL '!N12)/100/3.6*1000000</f>
        <v>974.75592279113164</v>
      </c>
      <c r="G6" s="34"/>
      <c r="H6" s="33"/>
      <c r="I6" s="33"/>
      <c r="J6" s="33">
        <f>$C$26*('E Balans VL '!D12+'E Balans VL '!E12)/100/3.6*1000000</f>
        <v>0</v>
      </c>
      <c r="K6" s="33"/>
      <c r="L6" s="33"/>
      <c r="M6" s="33"/>
      <c r="N6" s="33">
        <f>$C$26*'E Balans VL '!Y12/100/3.6*1000000</f>
        <v>49.693214314719171</v>
      </c>
      <c r="O6" s="33"/>
      <c r="P6" s="33"/>
      <c r="R6" s="32"/>
    </row>
    <row r="7" spans="1:18">
      <c r="A7" s="32" t="s">
        <v>53</v>
      </c>
      <c r="B7" s="37">
        <f t="shared" ref="B7:B12" si="0">B27</f>
        <v>1931.1589849499101</v>
      </c>
      <c r="C7" s="33"/>
      <c r="D7" s="37">
        <f>IF(ISERROR(TER_horeca_gas_kWh/1000),0,TER_horeca_gas_kWh/1000)*0.902</f>
        <v>1674.135614597614</v>
      </c>
      <c r="E7" s="33">
        <f>$C$27*'E Balans VL '!I9/100/3.6*1000000</f>
        <v>108.94304491198297</v>
      </c>
      <c r="F7" s="33">
        <f>$C$27*('E Balans VL '!L9+'E Balans VL '!N9)/100/3.6*1000000</f>
        <v>336.41858234931385</v>
      </c>
      <c r="G7" s="34"/>
      <c r="H7" s="33"/>
      <c r="I7" s="33"/>
      <c r="J7" s="33">
        <f>$C$27*('E Balans VL '!D9+'E Balans VL '!E9)/100/3.6*1000000</f>
        <v>0</v>
      </c>
      <c r="K7" s="33"/>
      <c r="L7" s="33"/>
      <c r="M7" s="33"/>
      <c r="N7" s="33">
        <f>$C$27*'E Balans VL '!Y9/100/3.6*1000000</f>
        <v>0</v>
      </c>
      <c r="O7" s="33"/>
      <c r="P7" s="33"/>
      <c r="R7" s="32"/>
    </row>
    <row r="8" spans="1:18">
      <c r="A8" s="6" t="s">
        <v>52</v>
      </c>
      <c r="B8" s="37">
        <f t="shared" si="0"/>
        <v>3249.12305140223</v>
      </c>
      <c r="C8" s="33"/>
      <c r="D8" s="37">
        <f>IF(ISERROR(TER_handel_gas_kWh/1000),0,TER_handel_gas_kWh/1000)*0.902</f>
        <v>1832.39264229747</v>
      </c>
      <c r="E8" s="33">
        <f>$C$28*'E Balans VL '!I13/100/3.6*1000000</f>
        <v>16.680667639784676</v>
      </c>
      <c r="F8" s="33">
        <f>$C$28*('E Balans VL '!L13+'E Balans VL '!N13)/100/3.6*1000000</f>
        <v>500.96457042140338</v>
      </c>
      <c r="G8" s="34"/>
      <c r="H8" s="33"/>
      <c r="I8" s="33"/>
      <c r="J8" s="33">
        <f>$C$28*('E Balans VL '!D13+'E Balans VL '!E13)/100/3.6*1000000</f>
        <v>0</v>
      </c>
      <c r="K8" s="33"/>
      <c r="L8" s="33"/>
      <c r="M8" s="33"/>
      <c r="N8" s="33">
        <f>$C$28*'E Balans VL '!Y13/100/3.6*1000000</f>
        <v>1.5196545120261693</v>
      </c>
      <c r="O8" s="33"/>
      <c r="P8" s="33"/>
      <c r="R8" s="32"/>
    </row>
    <row r="9" spans="1:18">
      <c r="A9" s="32" t="s">
        <v>51</v>
      </c>
      <c r="B9" s="37">
        <f t="shared" si="0"/>
        <v>616.94118962597099</v>
      </c>
      <c r="C9" s="33"/>
      <c r="D9" s="37">
        <f>IF(ISERROR(TER_gezond_gas_kWh/1000),0,TER_gezond_gas_kWh/1000)*0.902</f>
        <v>191.01434774719073</v>
      </c>
      <c r="E9" s="33">
        <f>$C$29*'E Balans VL '!I10/100/3.6*1000000</f>
        <v>0.25571772940228166</v>
      </c>
      <c r="F9" s="33">
        <f>$C$29*('E Balans VL '!L10+'E Balans VL '!N10)/100/3.6*1000000</f>
        <v>151.94376688794478</v>
      </c>
      <c r="G9" s="34"/>
      <c r="H9" s="33"/>
      <c r="I9" s="33"/>
      <c r="J9" s="33">
        <f>$C$29*('E Balans VL '!D10+'E Balans VL '!E10)/100/3.6*1000000</f>
        <v>0</v>
      </c>
      <c r="K9" s="33"/>
      <c r="L9" s="33"/>
      <c r="M9" s="33"/>
      <c r="N9" s="33">
        <f>$C$29*'E Balans VL '!Y10/100/3.6*1000000</f>
        <v>5.331898885003068</v>
      </c>
      <c r="O9" s="33"/>
      <c r="P9" s="33"/>
      <c r="R9" s="32"/>
    </row>
    <row r="10" spans="1:18">
      <c r="A10" s="32" t="s">
        <v>50</v>
      </c>
      <c r="B10" s="37">
        <f t="shared" si="0"/>
        <v>618.95370171974798</v>
      </c>
      <c r="C10" s="33"/>
      <c r="D10" s="37">
        <f>IF(ISERROR(TER_ander_gas_kWh/1000),0,TER_ander_gas_kWh/1000)*0.902</f>
        <v>165.17531373106112</v>
      </c>
      <c r="E10" s="33">
        <f>$C$30*'E Balans VL '!I14/100/3.6*1000000</f>
        <v>3.7731570369410017</v>
      </c>
      <c r="F10" s="33">
        <f>$C$30*('E Balans VL '!L14+'E Balans VL '!N14)/100/3.6*1000000</f>
        <v>164.09310502983757</v>
      </c>
      <c r="G10" s="34"/>
      <c r="H10" s="33"/>
      <c r="I10" s="33"/>
      <c r="J10" s="33">
        <f>$C$30*('E Balans VL '!D14+'E Balans VL '!E14)/100/3.6*1000000</f>
        <v>0</v>
      </c>
      <c r="K10" s="33"/>
      <c r="L10" s="33"/>
      <c r="M10" s="33"/>
      <c r="N10" s="33">
        <f>$C$30*'E Balans VL '!Y14/100/3.6*1000000</f>
        <v>142.65545364133507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3812.3205754149003</v>
      </c>
      <c r="C12" s="33"/>
      <c r="D12" s="37">
        <f>IF(ISERROR(TER_rest_gas_kWh/1000),0,TER_rest_gas_kWh/1000)*0.902</f>
        <v>4591.3988732026182</v>
      </c>
      <c r="E12" s="33">
        <f>$C$32*'E Balans VL '!I8/100/3.6*1000000</f>
        <v>81.763044025426012</v>
      </c>
      <c r="F12" s="33">
        <f>$C$32*('E Balans VL '!L8+'E Balans VL '!N8)/100/3.6*1000000</f>
        <v>752.23853473554993</v>
      </c>
      <c r="G12" s="34"/>
      <c r="H12" s="33"/>
      <c r="I12" s="33"/>
      <c r="J12" s="33">
        <f>$C$32*('E Balans VL '!D8+'E Balans VL '!E8)/100/3.6*1000000</f>
        <v>0</v>
      </c>
      <c r="K12" s="33"/>
      <c r="L12" s="33"/>
      <c r="M12" s="33"/>
      <c r="N12" s="33">
        <f>$C$32*'E Balans VL '!Y8/100/3.6*1000000</f>
        <v>108.12779824148329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16657.375445950729</v>
      </c>
      <c r="C16" s="21">
        <f ca="1">C5+C13+C14</f>
        <v>0</v>
      </c>
      <c r="D16" s="21">
        <f t="shared" ref="D16:N16" ca="1" si="1">MAX((D5+D13+D14),0)</f>
        <v>13416.39732225089</v>
      </c>
      <c r="E16" s="21">
        <f t="shared" si="1"/>
        <v>436.451648919842</v>
      </c>
      <c r="F16" s="21">
        <f t="shared" ca="1" si="1"/>
        <v>2880.4144822151811</v>
      </c>
      <c r="G16" s="21">
        <f t="shared" si="1"/>
        <v>0</v>
      </c>
      <c r="H16" s="21">
        <f t="shared" si="1"/>
        <v>0</v>
      </c>
      <c r="I16" s="21">
        <f t="shared" si="1"/>
        <v>0</v>
      </c>
      <c r="J16" s="21">
        <f t="shared" si="1"/>
        <v>0</v>
      </c>
      <c r="K16" s="21">
        <f t="shared" si="1"/>
        <v>0</v>
      </c>
      <c r="L16" s="21">
        <f t="shared" ca="1" si="1"/>
        <v>0</v>
      </c>
      <c r="M16" s="21">
        <f t="shared" si="1"/>
        <v>0</v>
      </c>
      <c r="N16" s="21">
        <f t="shared" ca="1" si="1"/>
        <v>307.3280195945668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0.21851321420659167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3639.8566489406521</v>
      </c>
      <c r="C20" s="23">
        <f t="shared" ref="C20:P20" ca="1" si="2">C16*C18</f>
        <v>0</v>
      </c>
      <c r="D20" s="23">
        <f t="shared" ca="1" si="2"/>
        <v>2710.1122590946802</v>
      </c>
      <c r="E20" s="23">
        <f t="shared" si="2"/>
        <v>99.074524304804143</v>
      </c>
      <c r="F20" s="23">
        <f t="shared" ca="1" si="2"/>
        <v>769.07066675145336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6428.8779428379703</v>
      </c>
      <c r="C26" s="39">
        <f>IF(ISERROR(B26*3.6/1000000/'E Balans VL '!Z12*100),0,B26*3.6/1000000/'E Balans VL '!Z12*100)</f>
        <v>0.13528507481547308</v>
      </c>
      <c r="D26" s="238" t="s">
        <v>720</v>
      </c>
      <c r="F26" s="6"/>
    </row>
    <row r="27" spans="1:18">
      <c r="A27" s="232" t="s">
        <v>53</v>
      </c>
      <c r="B27" s="33">
        <f>IF(ISERROR(TER_horeca_ele_kWh/1000),0,TER_horeca_ele_kWh/1000)</f>
        <v>1931.1589849499101</v>
      </c>
      <c r="C27" s="39">
        <f>IF(ISERROR(B27*3.6/1000000/'E Balans VL '!Z9*100),0,B27*3.6/1000000/'E Balans VL '!Z9*100)</f>
        <v>0.16350580474921403</v>
      </c>
      <c r="D27" s="238" t="s">
        <v>720</v>
      </c>
      <c r="F27" s="6"/>
    </row>
    <row r="28" spans="1:18">
      <c r="A28" s="172" t="s">
        <v>52</v>
      </c>
      <c r="B28" s="33">
        <f>IF(ISERROR(TER_handel_ele_kWh/1000),0,TER_handel_ele_kWh/1000)</f>
        <v>3249.12305140223</v>
      </c>
      <c r="C28" s="39">
        <f>IF(ISERROR(B28*3.6/1000000/'E Balans VL '!Z13*100),0,B28*3.6/1000000/'E Balans VL '!Z13*100)</f>
        <v>8.9951522392435798E-2</v>
      </c>
      <c r="D28" s="238" t="s">
        <v>720</v>
      </c>
      <c r="F28" s="6"/>
    </row>
    <row r="29" spans="1:18">
      <c r="A29" s="232" t="s">
        <v>51</v>
      </c>
      <c r="B29" s="33">
        <f>IF(ISERROR(TER_gezond_ele_kWh/1000),0,TER_gezond_ele_kWh/1000)</f>
        <v>616.94118962597099</v>
      </c>
      <c r="C29" s="39">
        <f>IF(ISERROR(B29*3.6/1000000/'E Balans VL '!Z10*100),0,B29*3.6/1000000/'E Balans VL '!Z10*100)</f>
        <v>8.0195515060863296E-2</v>
      </c>
      <c r="D29" s="238" t="s">
        <v>720</v>
      </c>
      <c r="F29" s="6"/>
    </row>
    <row r="30" spans="1:18">
      <c r="A30" s="232" t="s">
        <v>50</v>
      </c>
      <c r="B30" s="33">
        <f>IF(ISERROR(TER_ander_ele_kWh/1000),0,TER_ander_ele_kWh/1000)</f>
        <v>618.95370171974798</v>
      </c>
      <c r="C30" s="39">
        <f>IF(ISERROR(B30*3.6/1000000/'E Balans VL '!Z14*100),0,B30*3.6/1000000/'E Balans VL '!Z14*100)</f>
        <v>4.7974588122338915E-2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3812.3205754149003</v>
      </c>
      <c r="C32" s="39">
        <f>IF(ISERROR(B32*3.6/1000000/'E Balans VL '!Z8*100),0,B32*3.6/1000000/'E Balans VL '!Z8*100)</f>
        <v>3.1435510684597788E-2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1772.7205323231201</v>
      </c>
      <c r="C5" s="17">
        <f>IF(ISERROR('Eigen informatie GS &amp; warmtenet'!B59),0,'Eigen informatie GS &amp; warmtenet'!B59)</f>
        <v>0</v>
      </c>
      <c r="D5" s="30">
        <f>SUM(D6:D15)</f>
        <v>1022.1655989898086</v>
      </c>
      <c r="E5" s="17">
        <f>SUM(E6:E15)</f>
        <v>21.189109025282967</v>
      </c>
      <c r="F5" s="17">
        <f>SUM(F6:F15)</f>
        <v>724.18760319507464</v>
      </c>
      <c r="G5" s="18"/>
      <c r="H5" s="17"/>
      <c r="I5" s="17"/>
      <c r="J5" s="17">
        <f>SUM(J6:J15)</f>
        <v>6.4638512605800109</v>
      </c>
      <c r="K5" s="17"/>
      <c r="L5" s="17"/>
      <c r="M5" s="17"/>
      <c r="N5" s="17">
        <f>SUM(N6:N15)</f>
        <v>67.715816736111961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662.71794299653607</v>
      </c>
      <c r="C9" s="33"/>
      <c r="D9" s="37">
        <f>IF( ISERROR(IND_andere_gas_kWh/1000),0,IND_andere_gas_kWh/1000)*0.902</f>
        <v>129.19357021997209</v>
      </c>
      <c r="E9" s="33">
        <f>C31*'E Balans VL '!I19/100/3.6*1000000</f>
        <v>11.131159708028095</v>
      </c>
      <c r="F9" s="33">
        <f>C31*'E Balans VL '!L19/100/3.6*1000000+C31*'E Balans VL '!N19/100/3.6*1000000</f>
        <v>518.07514223903104</v>
      </c>
      <c r="G9" s="34"/>
      <c r="H9" s="33"/>
      <c r="I9" s="33"/>
      <c r="J9" s="40">
        <f>C31*'E Balans VL '!D19/100/3.6*1000000+C31*'E Balans VL '!E19/100/3.6*1000000</f>
        <v>5.9771308391915495E-2</v>
      </c>
      <c r="K9" s="33"/>
      <c r="L9" s="33"/>
      <c r="M9" s="33"/>
      <c r="N9" s="33">
        <f>C31*'E Balans VL '!Y19/100/3.6*1000000</f>
        <v>49.118031949393604</v>
      </c>
      <c r="O9" s="33"/>
      <c r="P9" s="33"/>
      <c r="R9" s="32"/>
    </row>
    <row r="10" spans="1:18">
      <c r="A10" s="6" t="s">
        <v>41</v>
      </c>
      <c r="B10" s="37">
        <f t="shared" si="0"/>
        <v>409.20941025887998</v>
      </c>
      <c r="C10" s="33"/>
      <c r="D10" s="37">
        <f>IF( ISERROR(IND_voed_gas_kWh/1000),0,IND_voed_gas_kWh/1000)*0.902</f>
        <v>0</v>
      </c>
      <c r="E10" s="33">
        <f>C32*'E Balans VL '!I20/100/3.6*1000000</f>
        <v>3.7334566122397623</v>
      </c>
      <c r="F10" s="33">
        <f>C32*'E Balans VL '!L20/100/3.6*1000000+C32*'E Balans VL '!N20/100/3.6*1000000</f>
        <v>66.018277196067885</v>
      </c>
      <c r="G10" s="34"/>
      <c r="H10" s="33"/>
      <c r="I10" s="33"/>
      <c r="J10" s="40">
        <f>C32*'E Balans VL '!D20/100/3.6*1000000+C32*'E Balans VL '!E20/100/3.6*1000000</f>
        <v>1.6853926421220651</v>
      </c>
      <c r="K10" s="33"/>
      <c r="L10" s="33"/>
      <c r="M10" s="33"/>
      <c r="N10" s="33">
        <f>C32*'E Balans VL '!Y20/100/3.6*1000000</f>
        <v>5.9864110014113274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700.79317906770405</v>
      </c>
      <c r="C15" s="33"/>
      <c r="D15" s="37">
        <f>IF( ISERROR(IND_rest_gas_kWh/1000),0,IND_rest_gas_kWh/1000)*0.902</f>
        <v>892.97202876983647</v>
      </c>
      <c r="E15" s="33">
        <f>C37*'E Balans VL '!I15/100/3.6*1000000</f>
        <v>6.3244927050151114</v>
      </c>
      <c r="F15" s="33">
        <f>C37*'E Balans VL '!L15/100/3.6*1000000+C37*'E Balans VL '!N15/100/3.6*1000000</f>
        <v>140.09418375997581</v>
      </c>
      <c r="G15" s="34"/>
      <c r="H15" s="33"/>
      <c r="I15" s="33"/>
      <c r="J15" s="40">
        <f>C37*'E Balans VL '!D15/100/3.6*1000000+C37*'E Balans VL '!E15/100/3.6*1000000</f>
        <v>4.7186873100660298</v>
      </c>
      <c r="K15" s="33"/>
      <c r="L15" s="33"/>
      <c r="M15" s="33"/>
      <c r="N15" s="33">
        <f>C37*'E Balans VL '!Y15/100/3.6*1000000</f>
        <v>12.611373785307027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1772.7205323231201</v>
      </c>
      <c r="C18" s="21">
        <f>C5+C16</f>
        <v>0</v>
      </c>
      <c r="D18" s="21">
        <f>MAX((D5+D16),0)</f>
        <v>1022.1655989898086</v>
      </c>
      <c r="E18" s="21">
        <f>MAX((E5+E16),0)</f>
        <v>21.189109025282967</v>
      </c>
      <c r="F18" s="21">
        <f>MAX((F5+F16),0)</f>
        <v>724.18760319507464</v>
      </c>
      <c r="G18" s="21"/>
      <c r="H18" s="21"/>
      <c r="I18" s="21"/>
      <c r="J18" s="21">
        <f>MAX((J5+J16),0)</f>
        <v>6.4638512605800109</v>
      </c>
      <c r="K18" s="21"/>
      <c r="L18" s="21">
        <f>MAX((L5+L16),0)</f>
        <v>0</v>
      </c>
      <c r="M18" s="21"/>
      <c r="N18" s="21">
        <f>MAX((N5+N16),0)</f>
        <v>67.715816736111961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0.21851321420659167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387.36286140794516</v>
      </c>
      <c r="C22" s="23">
        <f ca="1">C18*C20</f>
        <v>0</v>
      </c>
      <c r="D22" s="23">
        <f>D18*D20</f>
        <v>206.47745099594135</v>
      </c>
      <c r="E22" s="23">
        <f>E18*E20</f>
        <v>4.8099277487392333</v>
      </c>
      <c r="F22" s="23">
        <f>F18*F20</f>
        <v>193.35809005308494</v>
      </c>
      <c r="G22" s="23"/>
      <c r="H22" s="23"/>
      <c r="I22" s="23"/>
      <c r="J22" s="23">
        <f>J18*J20</f>
        <v>2.2882033462453237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662.71794299653607</v>
      </c>
      <c r="C31" s="39">
        <f>IF(ISERROR(B31*3.6/1000000/'E Balans VL '!Z19*100),0,B31*3.6/1000000/'E Balans VL '!Z19*100)</f>
        <v>2.9375660097050622E-2</v>
      </c>
      <c r="D31" s="238" t="s">
        <v>720</v>
      </c>
    </row>
    <row r="32" spans="1:18">
      <c r="A32" s="172" t="s">
        <v>41</v>
      </c>
      <c r="B32" s="37">
        <f>IF( ISERROR(IND_voed_ele_kWh/1000),0,IND_voed_ele_kWh/1000)</f>
        <v>409.20941025887998</v>
      </c>
      <c r="C32" s="39">
        <f>IF(ISERROR(B32*3.6/1000000/'E Balans VL '!Z20*100),0,B32*3.6/1000000/'E Balans VL '!Z20*100)</f>
        <v>1.3668768172516169E-2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700.79317906770405</v>
      </c>
      <c r="C37" s="39">
        <f>IF(ISERROR(B37*3.6/1000000/'E Balans VL '!Z15*100),0,B37*3.6/1000000/'E Balans VL '!Z15*100)</f>
        <v>5.2127595625157388E-3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302.18702625662519</v>
      </c>
      <c r="C5" s="17">
        <f>'Eigen informatie GS &amp; warmtenet'!B60</f>
        <v>0</v>
      </c>
      <c r="D5" s="30">
        <f>IF(ISERROR(SUM(LB_lb_gas_kWh,LB_rest_gas_kWh,onbekend_gas_kWh)/1000),0,SUM(LB_lb_gas_kWh,LB_rest_gas_kWh,onbekend_gas_kWh)/1000)*0.902</f>
        <v>1589.297617774937</v>
      </c>
      <c r="E5" s="17">
        <f>B17*'E Balans VL '!I25/3.6*1000000/100</f>
        <v>3.1645679597827181</v>
      </c>
      <c r="F5" s="17">
        <f>B17*('E Balans VL '!L25/3.6*1000000+'E Balans VL '!N25/3.6*1000000)/100</f>
        <v>1552.0806823619318</v>
      </c>
      <c r="G5" s="18"/>
      <c r="H5" s="17"/>
      <c r="I5" s="17"/>
      <c r="J5" s="17">
        <f>('E Balans VL '!D25+'E Balans VL '!E25)/3.6*1000000*landbouw!B17/100</f>
        <v>26.988009993239888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302.18702625662519</v>
      </c>
      <c r="C8" s="21">
        <f>C5+C6</f>
        <v>0</v>
      </c>
      <c r="D8" s="21">
        <f>MAX((D5+D6),0)</f>
        <v>1589.297617774937</v>
      </c>
      <c r="E8" s="21">
        <f>MAX((E5+E6),0)</f>
        <v>3.1645679597827181</v>
      </c>
      <c r="F8" s="21">
        <f>MAX((F5+F6),0)</f>
        <v>1552.0806823619318</v>
      </c>
      <c r="G8" s="21"/>
      <c r="H8" s="21"/>
      <c r="I8" s="21"/>
      <c r="J8" s="21">
        <f>MAX((J5+J6),0)</f>
        <v>26.988009993239888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0.21851321420659167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66.031858398866888</v>
      </c>
      <c r="C12" s="23">
        <f ca="1">C8*C10</f>
        <v>0</v>
      </c>
      <c r="D12" s="23">
        <f>D8*D10</f>
        <v>321.03811879053728</v>
      </c>
      <c r="E12" s="23">
        <f>E8*E10</f>
        <v>0.71835692687067698</v>
      </c>
      <c r="F12" s="23">
        <f>F8*F10</f>
        <v>414.4055421906358</v>
      </c>
      <c r="G12" s="23"/>
      <c r="H12" s="23"/>
      <c r="I12" s="23"/>
      <c r="J12" s="23">
        <f>J8*J10</f>
        <v>9.5537555376069196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4.6512416628483808E-2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5.2630396341860495</v>
      </c>
      <c r="C26" s="248">
        <f>B26*'GWP N2O_CH4'!B5</f>
        <v>110.52383231790704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0.40285694550801199</v>
      </c>
      <c r="C27" s="248">
        <f>B27*'GWP N2O_CH4'!B5</f>
        <v>8.459995855668252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8.025027409399961E-2</v>
      </c>
      <c r="C28" s="248">
        <f>B28*'GWP N2O_CH4'!B4</f>
        <v>24.877584969139878</v>
      </c>
      <c r="D28" s="50"/>
    </row>
    <row r="29" spans="1:4">
      <c r="A29" s="41" t="s">
        <v>278</v>
      </c>
      <c r="B29" s="248">
        <f>B34*'ha_N2O bodem landbouw'!B4</f>
        <v>3.4008895742757397</v>
      </c>
      <c r="C29" s="248">
        <f>B29*'GWP N2O_CH4'!B4</f>
        <v>1054.2757680254792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5.6204166840136322E-4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1.3510277085356641E-6</v>
      </c>
      <c r="C5" s="446" t="s">
        <v>212</v>
      </c>
      <c r="D5" s="431">
        <f>SUM(D6:D11)</f>
        <v>6.6755771701175394E-6</v>
      </c>
      <c r="E5" s="431">
        <f>SUM(E6:E11)</f>
        <v>6.7715397978035689E-4</v>
      </c>
      <c r="F5" s="444" t="s">
        <v>212</v>
      </c>
      <c r="G5" s="431">
        <f>SUM(G6:G11)</f>
        <v>0.12647209177543525</v>
      </c>
      <c r="H5" s="431">
        <f>SUM(H6:H11)</f>
        <v>2.2212879111730782E-2</v>
      </c>
      <c r="I5" s="446" t="s">
        <v>212</v>
      </c>
      <c r="J5" s="446" t="s">
        <v>212</v>
      </c>
      <c r="K5" s="446" t="s">
        <v>212</v>
      </c>
      <c r="L5" s="446" t="s">
        <v>212</v>
      </c>
      <c r="M5" s="431">
        <f>SUM(M6:M11)</f>
        <v>6.489036339472635E-3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1.1022789446470593E-6</v>
      </c>
      <c r="C6" s="432"/>
      <c r="D6" s="432">
        <f>vkm_2011_GW_PW*SUMIFS(TableVerdeelsleutelVkm[CNG],TableVerdeelsleutelVkm[Voertuigtype],"Lichte voertuigen")*SUMIFS(TableECFTransport[EnergieConsumptieFactor (PJ per km)],TableECFTransport[Index],CONCATENATE($A6,"_CNG_CNG"))</f>
        <v>4.7517964016104142E-6</v>
      </c>
      <c r="E6" s="434">
        <f>vkm_2011_GW_PW*SUMIFS(TableVerdeelsleutelVkm[LPG],TableVerdeelsleutelVkm[Voertuigtype],"Lichte voertuigen")*SUMIFS(TableECFTransport[EnergieConsumptieFactor (PJ per km)],TableECFTransport[Index],CONCATENATE($A6,"_LPG_LPG"))</f>
        <v>4.9439525917678161E-4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6.0811974131610748E-2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1.6010532581092564E-2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3.3667305453619397E-3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3.7909874116209899E-2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1.2998770492785162E-5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1.6376355310336712E-3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2.4874876388860481E-7</v>
      </c>
      <c r="C8" s="432"/>
      <c r="D8" s="434">
        <f>vkm_2011_NGW_PW*SUMIFS(TableVerdeelsleutelVkm[CNG],TableVerdeelsleutelVkm[Voertuigtype],"Lichte voertuigen")*SUMIFS(TableECFTransport[EnergieConsumptieFactor (PJ per km)],TableECFTransport[Index],CONCATENATE($A8,"_CNG_CNG"))</f>
        <v>1.9237807685071252E-6</v>
      </c>
      <c r="E8" s="434">
        <f>vkm_2011_NGW_PW*SUMIFS(TableVerdeelsleutelVkm[LPG],TableVerdeelsleutelVkm[Voertuigtype],"Lichte voertuigen")*SUMIFS(TableECFTransport[EnergieConsumptieFactor (PJ per km)],TableECFTransport[Index],CONCATENATE($A8,"_LPG_LPG"))</f>
        <v>1.8275872060357525E-4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2.1321601547429542E-2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6.1874328365868958E-3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1.2069783624452982E-3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6.4286419801850448E-3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1.9149235585363478E-6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2.7769190063172615E-4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0.37528547459324002</v>
      </c>
      <c r="C14" s="21"/>
      <c r="D14" s="21">
        <f t="shared" ref="D14:M14" si="0">((D5)*10^9/3600)+D12</f>
        <v>1.8543269916993164</v>
      </c>
      <c r="E14" s="21">
        <f t="shared" si="0"/>
        <v>188.09832771676579</v>
      </c>
      <c r="F14" s="21"/>
      <c r="G14" s="21">
        <f t="shared" si="0"/>
        <v>35131.136604287567</v>
      </c>
      <c r="H14" s="21">
        <f t="shared" si="0"/>
        <v>6170.2441977029948</v>
      </c>
      <c r="I14" s="21"/>
      <c r="J14" s="21"/>
      <c r="K14" s="21"/>
      <c r="L14" s="21"/>
      <c r="M14" s="21">
        <f t="shared" si="0"/>
        <v>1802.5100942979541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0.21851321420659167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8.2004835298415069E-2</v>
      </c>
      <c r="C18" s="23"/>
      <c r="D18" s="23">
        <f t="shared" ref="D18:M18" si="1">D14*D16</f>
        <v>0.37457405232326191</v>
      </c>
      <c r="E18" s="23">
        <f t="shared" si="1"/>
        <v>42.698320391705835</v>
      </c>
      <c r="F18" s="23"/>
      <c r="G18" s="23">
        <f t="shared" si="1"/>
        <v>9380.0134733447812</v>
      </c>
      <c r="H18" s="23">
        <f t="shared" si="1"/>
        <v>1536.3908052280458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2.56896617235888E-3</v>
      </c>
      <c r="H50" s="322">
        <f t="shared" si="2"/>
        <v>0</v>
      </c>
      <c r="I50" s="322">
        <f t="shared" si="2"/>
        <v>0</v>
      </c>
      <c r="J50" s="322">
        <f t="shared" si="2"/>
        <v>0</v>
      </c>
      <c r="K50" s="322">
        <f t="shared" si="2"/>
        <v>0</v>
      </c>
      <c r="L50" s="322">
        <f t="shared" si="2"/>
        <v>0</v>
      </c>
      <c r="M50" s="322">
        <f t="shared" si="2"/>
        <v>1.0950386711432235E-4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2.56896617235888E-3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1.0950386711432235E-4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713.6017145441333</v>
      </c>
      <c r="H54" s="21">
        <f t="shared" si="3"/>
        <v>0</v>
      </c>
      <c r="I54" s="21">
        <f t="shared" si="3"/>
        <v>0</v>
      </c>
      <c r="J54" s="21">
        <f t="shared" si="3"/>
        <v>0</v>
      </c>
      <c r="K54" s="21">
        <f t="shared" si="3"/>
        <v>0</v>
      </c>
      <c r="L54" s="21">
        <f t="shared" si="3"/>
        <v>0</v>
      </c>
      <c r="M54" s="21">
        <f t="shared" si="3"/>
        <v>30.417740865089542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0.21851321420659167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190.53165778328361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457.87451922636717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457.87451922636717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2018-06-27T09:02:38Z</dcterms:modified>
</cp:coreProperties>
</file>