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<sst xmlns="http://schemas.openxmlformats.org/spreadsheetml/2006/main" count="2065" uniqueCount="912">
  <si>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</si>
  <si>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</si>
  <si>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</si>
  <si>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</si>
  <si>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</si>
  <si>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</si>
  <si>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</si>
  <si>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</si>
  <si>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</si>
  <si>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</si>
  <si>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</si>
  <si>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</si>
  <si>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</si>
  <si>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</si>
  <si>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</si>
  <si>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</si>
  <si>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</si>
  <si>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</si>
  <si>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</si>
  <si>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</si>
  <si>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</si>
  <si>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</si>
  <si>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</si>
  <si>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</si>
  <si>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</si>
  <si>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</si>
  <si>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</si>
  <si>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</si>
  <si>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</si>
  <si>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</si>
  <si>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</si>
  <si>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</si>
  <si>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</si>
  <si>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</si>
  <si>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</si>
  <si>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</si>
  <si>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</si>
  <si>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</si>
  <si>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</si>
  <si>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</si>
  <si>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</si>
  <si>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</si>
  <si>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</si>
  <si>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</si>
  <si>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</si>
  <si>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</si>
  <si>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</si>
  <si>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</si>
  <si>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</si>
  <si>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</si>
  <si>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</si>
  <si>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</si>
  <si>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</si>
  <si>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</si>
  <si>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</si>
  <si>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</si>
  <si>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</si>
  <si>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</si>
  <si>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</si>
  <si>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</si>
  <si>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</si>
  <si>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</si>
  <si>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</si>
  <si>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</si>
  <si>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</si>
  <si>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</si>
  <si>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</si>
  <si>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</si>
  <si>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</si>
  <si>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</si>
  <si>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</si>
  <si>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</si>
  <si>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</si>
  <si>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</si>
  <si>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</si>
  <si>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</si>
  <si>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</si>
  <si>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</si>
  <si>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</si>
  <si>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</si>
  <si>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</si>
  <si>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</si>
  <si>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</si>
  <si>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</si>
  <si>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</si>
  <si>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</si>
  <si>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</si>
  <si>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</si>
  <si>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</si>
  <si>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</si>
  <si>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</si>
  <si>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</si>
  <si>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</si>
  <si>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</si>
  <si>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</si>
  <si>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</si>
  <si>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</si>
  <si>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</si>
  <si>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</si>
  <si>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</si>
  <si>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</si>
  <si>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</si>
  <si>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</si>
  <si>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</si>
  <si>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</si>
  <si>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</si>
  <si>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</si>
  <si>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</si>
  <si>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</si>
  <si>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</si>
  <si>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</si>
  <si>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</si>
  <si>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</si>
  <si>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</si>
  <si>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</si>
  <si>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</si>
  <si>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</si>
  <si>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</si>
  <si>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</si>
  <si>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</si>
  <si>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</si>
  <si>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</si>
  <si>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</si>
  <si>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</si>
  <si>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</si>
  <si>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</si>
  <si>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</si>
  <si>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</si>
  <si>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</si>
  <si>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</si>
  <si>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</si>
  <si>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</si>
  <si>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</si>
  <si>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</si>
  <si>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</si>
  <si>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</si>
  <si>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</si>
  <si>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</si>
  <si>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</si>
  <si>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</si>
  <si>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</si>
  <si>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</si>
  <si>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</si>
  <si>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</si>
  <si>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</si>
  <si>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</si>
  <si>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</si>
  <si>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</si>
  <si>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</si>
  <si>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</si>
  <si>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</si>
  <si>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</si>
  <si>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</si>
  <si>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</si>
  <si>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</si>
  <si>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</si>
  <si>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</si>
  <si>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</si>
  <si>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</si>
  <si>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</si>
  <si>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</si>
  <si>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</si>
  <si>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</si>
  <si>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</si>
  <si>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</si>
  <si>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</si>
  <si>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</si>
  <si>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</si>
  <si>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</si>
  <si>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</si>
  <si>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</si>
  <si>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</si>
  <si>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</si>
  <si>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</si>
  <si>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</si>
  <si>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</si>
  <si>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</si>
  <si>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</si>
  <si>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</si>
  <si>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</si>
  <si>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</si>
  <si>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</si>
  <si>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</si>
  <si>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</si>
  <si>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</si>
  <si>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</si>
  <si>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</si>
  <si>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</si>
  <si>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</si>
  <si>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</si>
  <si>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</si>
  <si>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</si>
  <si>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</si>
  <si>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</si>
  <si>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</si>
  <si>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</si>
  <si>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</si>
  <si>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</si>
  <si>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</si>
  <si>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</si>
  <si>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</si>
  <si>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</si>
  <si>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</si>
  <si>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</si>
  <si>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</si>
  <si>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</si>
  <si>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</si>
  <si>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</si>
  <si>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</si>
  <si>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</si>
  <si>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</si>
  <si>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</si>
  <si>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</si>
  <si>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</si>
  <si>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</si>
  <si>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</si>
  <si>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</si>
  <si>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</si>
  <si>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</si>
  <si>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</si>
  <si>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</si>
  <si>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</si>
  <si>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</si>
  <si>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</si>
  <si>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</si>
  <si>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</si>
  <si>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</si>
  <si>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</si>
  <si>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</si>
  <si>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</si>
  <si>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</si>
  <si>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</si>
  <si>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</si>
  <si>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</si>
  <si>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</si>
  <si>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</si>
  <si>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</si>
  <si>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</si>
  <si>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</si>
  <si>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</si>
  <si>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</si>
  <si>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</si>
  <si>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</si>
  <si>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</si>
  <si>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</si>
  <si>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</si>
  <si>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</si>
  <si>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</si>
  <si>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</si>
  <si>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</si>
  <si>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</si>
  <si>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</si>
  <si>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</si>
  <si>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</si>
  <si>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</si>
  <si>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</si>
  <si>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</si>
  <si>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</si>
  <si>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</si>
  <si>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</si>
  <si>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</si>
  <si>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</si>
  <si>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</si>
  <si>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</si>
  <si>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</si>
  <si>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</si>
  <si>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</si>
  <si>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</si>
  <si>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</si>
  <si>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</si>
  <si>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</si>
  <si>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</si>
  <si>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</si>
  <si>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</si>
  <si>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</si>
  <si>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</si>
  <si>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</si>
  <si>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</si>
  <si>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</si>
  <si>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</si>
  <si>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</si>
  <si>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</si>
  <si>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</si>
  <si>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</si>
  <si>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</si>
  <si>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</si>
  <si>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</si>
  <si>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</si>
  <si>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</si>
  <si>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</si>
  <si>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</si>
  <si>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</si>
  <si>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</si>
  <si>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</si>
  <si>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</si>
  <si>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</si>
  <si>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</si>
  <si>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</si>
  <si>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</si>
  <si>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</si>
  <si>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</si>
  <si>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</si>
  <si>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</si>
  <si>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</si>
  <si>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</si>
  <si>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</si>
  <si>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</si>
  <si>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</si>
  <si>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</si>
  <si>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</si>
  <si>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</si>
  <si>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</si>
  <si>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</si>
  <si>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</si>
  <si>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</si>
  <si>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</si>
  <si>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</si>
  <si>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</si>
  <si>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</si>
  <si>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</si>
  <si>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</si>
  <si>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</si>
  <si>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</si>
  <si>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</si>
  <si>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</si>
  <si>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</si>
  <si>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</si>
  <si>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</si>
  <si>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</si>
  <si>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</si>
  <si>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</si>
  <si>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</si>
  <si>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</si>
  <si>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</si>
  <si>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</si>
  <si>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</si>
  <si>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</si>
  <si>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</si>
  <si>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</si>
  <si>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</si>
  <si>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</si>
  <si>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</si>
  <si>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</si>
  <si>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</si>
  <si>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</si>
  <si>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</si>
  <si>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</si>
  <si>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</si>
  <si>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</si>
  <si>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</si>
  <si>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</si>
  <si>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</si>
  <si>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</si>
  <si>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</si>
  <si>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</si>
  <si>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</si>
  <si>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</si>
  <si>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</si>
  <si>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</si>
  <si>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</si>
  <si>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</si>
  <si>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</si>
  <si>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</si>
  <si>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</si>
  <si>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</si>
  <si>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</si>
  <si>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</si>
  <si>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</si>
  <si>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</si>
  <si>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</si>
  <si>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</si>
  <si>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</si>
  <si>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</si>
  <si>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</si>
  <si>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</si>
  <si>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</si>
  <si>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</si>
  <si>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</si>
  <si>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</si>
  <si>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</si>
  <si>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</si>
  <si>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</si>
  <si>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</si>
  <si>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</si>
  <si>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</si>
  <si>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</si>
  <si>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</si>
  <si>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</si>
  <si>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</si>
  <si>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</si>
  <si>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</si>
  <si>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</si>
  <si>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</si>
  <si>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</si>
  <si>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</si>
  <si>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</si>
  <si>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</si>
  <si>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</si>
  <si>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</si>
  <si>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</si>
  <si>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</si>
  <si>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</si>
  <si>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</si>
  <si>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</si>
  <si>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</si>
  <si>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</si>
  <si>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</si>
  <si>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</si>
  <si>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</si>
  <si>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</si>
  <si>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</si>
  <si>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</si>
  <si>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</si>
  <si>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</si>
  <si>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</si>
  <si>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</si>
  <si>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</si>
  <si>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</si>
  <si>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</si>
  <si>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</si>
  <si>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</si>
  <si>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</si>
  <si>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</si>
  <si>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</si>
  <si>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</si>
  <si>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</si>
  <si>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</si>
  <si>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</si>
  <si>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</si>
  <si>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</si>
  <si>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</si>
  <si>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</si>
  <si>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</si>
  <si>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</si>
  <si>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</si>
  <si>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</si>
  <si>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</si>
  <si>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</si>
  <si>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</si>
  <si>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</si>
  <si>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</si>
  <si>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</si>
  <si>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</si>
  <si>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</si>
  <si>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</si>
  <si>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</si>
  <si>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</si>
  <si>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</si>
  <si>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</si>
  <si>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</si>
  <si>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</si>
  <si>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</si>
  <si>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</si>
  <si>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</si>
  <si>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</si>
  <si>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</si>
  <si>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</si>
  <si>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</si>
  <si>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</si>
  <si>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</si>
  <si>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</si>
  <si>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</si>
  <si>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</si>
  <si>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</si>
  <si>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</si>
  <si>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</si>
  <si>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</si>
  <si>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</si>
  <si>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</si>
  <si>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</si>
  <si>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</si>
  <si>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</si>
  <si>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</si>
  <si>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</si>
  <si>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</si>
  <si>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</si>
  <si>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</si>
  <si>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</si>
  <si>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</si>
  <si>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</si>
  <si>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</si>
  <si>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</si>
  <si>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</si>
  <si>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</si>
  <si>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</si>
  <si>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</si>
  <si>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</si>
  <si>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</si>
  <si>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</si>
  <si>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</si>
  <si>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</si>
  <si>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</si>
  <si>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</si>
  <si>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</si>
  <si>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</si>
  <si>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</si>
  <si>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</si>
  <si>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</si>
  <si>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</si>
  <si>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</si>
  <si>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</si>
  <si>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</si>
  <si>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</si>
  <si>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</si>
  <si>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</si>
  <si>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</si>
  <si>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</si>
  <si>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</si>
  <si>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</si>
  <si>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</si>
  <si>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</si>
  <si>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</si>
  <si>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</si>
  <si>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</si>
  <si>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</si>
  <si>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</si>
  <si>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</si>
  <si>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</si>
  <si>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</si>
  <si>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</si>
  <si>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</si>
  <si>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</si>
  <si>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</si>
  <si>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</si>
  <si>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</si>
  <si>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</si>
  <si>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</si>
  <si>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</si>
  <si>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</si>
  <si>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</si>
  <si>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</si>
  <si>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</si>
  <si>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</si>
  <si>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</si>
  <si>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</si>
  <si>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</si>
  <si>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</si>
  <si>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</si>
  <si>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</si>
  <si>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</si>
  <si>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</si>
  <si>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</si>
  <si>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</si>
  <si>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</si>
  <si>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</si>
  <si>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</si>
  <si>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</si>
  <si>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</si>
  <si>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</si>
  <si>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</si>
  <si>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</si>
  <si>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</si>
  <si>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</si>
  <si>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</si>
  <si>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</si>
  <si>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</si>
  <si>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</si>
  <si>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</si>
  <si>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</si>
  <si>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</si>
  <si>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</si>
  <si>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</si>
  <si>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</si>
  <si>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</si>
  <si>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</si>
  <si>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</si>
  <si>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</si>
  <si>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</si>
  <si>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</si>
  <si>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</si>
  <si>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</si>
  <si>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</si>
  <si>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</si>
  <si>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</si>
  <si>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</si>
  <si>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</si>
  <si>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</si>
  <si>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</si>
  <si>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</si>
  <si>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</si>
  <si>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</si>
  <si>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</si>
  <si>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</si>
  <si>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</si>
  <si>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</si>
  <si>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</si>
  <si>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</si>
  <si>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</si>
  <si>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</si>
  <si>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</si>
  <si>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</si>
  <si>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</si>
  <si>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</si>
  <si>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</si>
  <si>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</si>
  <si>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</si>
  <si>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</si>
  <si>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</si>
  <si>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</si>
  <si>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</si>
  <si>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</si>
  <si>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</si>
  <si>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</si>
  <si>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</si>
  <si>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</si>
  <si>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</si>
  <si>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</si>
  <si>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</si>
  <si>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</si>
  <si>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</si>
  <si>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</si>
  <si>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</si>
  <si>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</si>
  <si>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</si>
  <si>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</si>
  <si>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</si>
  <si>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</si>
  <si>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</si>
  <si>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</si>
  <si>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</si>
  <si>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</si>
  <si>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</si>
  <si>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</si>
  <si>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</si>
  <si>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</si>
  <si>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</si>
  <si>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</si>
  <si>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</si>
  <si>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</si>
  <si>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</si>
  <si>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</si>
  <si>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</si>
  <si>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</si>
  <si>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</si>
  <si>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</si>
  <si>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</si>
  <si>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</si>
  <si>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</si>
  <si>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</si>
  <si>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</si>
  <si>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</si>
  <si>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</si>
  <si>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</si>
  <si>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</si>
  <si>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</si>
  <si>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</si>
  <si>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</si>
  <si>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</si>
  <si>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</si>
  <si>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</si>
  <si>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</si>
  <si>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</si>
  <si>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</si>
  <si>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</si>
  <si>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</si>
  <si>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</si>
  <si>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</si>
  <si>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</si>
  <si>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</si>
  <si>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</si>
  <si>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</si>
  <si>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</si>
  <si>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</si>
  <si>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</si>
  <si>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</si>
  <si>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</si>
  <si>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</si>
  <si>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</si>
  <si>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</si>
  <si>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</si>
  <si>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</si>
  <si>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</si>
  <si>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</si>
  <si>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</si>
  <si>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</si>
  <si>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</si>
  <si>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</si>
  <si>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</si>
  <si>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</si>
  <si>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</si>
  <si>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</si>
  <si>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</si>
  <si>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</si>
  <si>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</si>
  <si>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</si>
  <si>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</si>
  <si>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</si>
  <si>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</si>
  <si>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</si>
  <si>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</si>
  <si>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</si>
  <si>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</si>
  <si>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</si>
  <si>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</si>
  <si>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</si>
  <si>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</si>
  <si>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</si>
  <si>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</si>
  <si>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</si>
  <si>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</si>
  <si>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</si>
  <si>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</si>
  <si>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</si>
  <si>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</si>
  <si>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</si>
  <si>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</si>
  <si>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</si>
  <si>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</si>
  <si>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</si>
  <si>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</si>
  <si>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</si>
  <si>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</si>
  <si>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</si>
  <si>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</si>
  <si>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</si>
  <si>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</si>
  <si>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</si>
  <si>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</si>
  <si>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</si>
  <si>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</si>
  <si>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</si>
  <si>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</si>
  <si>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</si>
  <si>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</si>
  <si>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</si>
  <si>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</si>
  <si>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</si>
  <si>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</si>
  <si>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</si>
  <si>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</si>
  <si>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</si>
  <si>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</si>
  <si>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</si>
  <si>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</si>
  <si>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</si>
  <si>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</si>
  <si>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</si>
  <si>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</si>
  <si>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</si>
  <si>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</si>
  <si>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</si>
  <si>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</si>
  <si>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</si>
  <si>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</si>
  <si>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</si>
  <si>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</si>
  <si>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</si>
  <si>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</si>
  <si>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</si>
  <si>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</si>
  <si>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</si>
  <si>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</si>
  <si>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</si>
  <si>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</si>
  <si>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</si>
  <si>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</si>
  <si>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</si>
  <si>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</si>
  <si>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</si>
  <si>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</si>
  <si>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</si>
  <si>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</si>
  <si>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</si>
  <si>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</si>
  <si>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</si>
  <si>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</si>
  <si>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</si>
  <si>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</si>
  <si>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</si>
  <si>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</si>
  <si>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</si>
  <si>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</si>
  <si>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</si>
  <si>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</si>
  <si>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</si>
  <si>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</si>
  <si>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</si>
  <si>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</si>
  <si>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</si>
  <si>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</si>
  <si>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</si>
  <si>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</si>
  <si>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</si>
  <si>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</si>
  <si>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</si>
  <si>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</si>
  <si>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</si>
  <si>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</si>
  <si>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</si>
  <si>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</si>
  <si>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</si>
  <si>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</si>
  <si>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</si>
  <si>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</si>
  <si>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</si>
  <si>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</si>
  <si>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</si>
  <si>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</si>
  <si>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</si>
  <si>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</si>
  <si>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</si>
  <si>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</si>
  <si>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</si>
  <si>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</si>
  <si>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</si>
  <si>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</si>
  <si>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</si>
  <si>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</si>
  <si>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</si>
  <si>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</si>
  <si>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</si>
  <si>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</si>
  <si>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</si>
  <si>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</si>
  <si>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</si>
  <si>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</si>
  <si>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</si>
  <si>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</si>
  <si>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</si>
  <si>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</si>
  <si>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</si>
  <si>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</si>
  <si>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</si>
  <si>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</si>
  <si>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</si>
  <si>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</si>
  <si>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</si>
  <si>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</si>
  <si>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</si>
  <si>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</si>
  <si>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</si>
  <si>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</si>
  <si>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</si>
  <si>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</si>
  <si>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</si>
  <si>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</si>
  <si>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</si>
  <si>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</si>
  <si>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</si>
  <si>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</si>
  <si>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</si>
  <si>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</si>
  <si>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</si>
  <si>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</si>
  <si>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</si>
  <si>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</si>
  <si>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</si>
  <si>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</si>
  <si>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</si>
  <si>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</si>
  <si>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</si>
  <si>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</si>
  <si>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</si>
  <si>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</si>
  <si>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</si>
  <si>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</si>
  <si>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</si>
  <si>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</si>
  <si>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</si>
  <si>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</si>
  <si>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</si>
  <si>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</si>
  <si>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</si>
  <si>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</si>
  <si>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</si>
  <si>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</si>
  <si>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</si>
  <si>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</si>
  <si>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</si>
  <si>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</si>
  <si>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</si>
  <si>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</si>
  <si>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</si>
  <si>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</si>
  <si>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</si>
  <si>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</si>
  <si>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</si>
  <si>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</si>
  <si>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</si>
  <si>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</si>
  <si>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</si>
  <si>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</si>
  <si>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</si>
  <si>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</si>
  <si>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</si>
  <si>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44048</t>
  </si>
  <si>
    <t>NAZARETH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</si>
  <si>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</si>
  <si>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</si>
  <si>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</si>
  <si>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</si>
  <si>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</si>
  <si>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</si>
  <si>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</si>
  <si>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Stefaan Tytgat</t>
  </si>
  <si>
    <t>`s Gravenstraat 106 , 9810 Nazareth</t>
  </si>
  <si>
    <t>WKK-0328 Stefaan Tytgat</t>
  </si>
  <si>
    <t>stirlingmotor</t>
  </si>
  <si>
    <t>'s Gravenstraat 106 , 9810 Nazareth</t>
  </si>
  <si>
    <t>GASELWEST</t>
  </si>
  <si>
    <t>Lucien Schepens</t>
  </si>
  <si>
    <t>Draverstraat 9 , 9810 Nazareth</t>
  </si>
  <si>
    <t>WKK-0366 Lucien Schepens</t>
  </si>
  <si>
    <t>Zorg-Saam Zusters Kindsheid Jesu vzw</t>
  </si>
  <si>
    <t>Onze Lieve Vrouwstraat 23 , 9041 Oostakker</t>
  </si>
  <si>
    <t>WKK-0317 Zorg-Saam Zusters Kindsheid Jesu</t>
  </si>
  <si>
    <t>interne verbrandingsmotor</t>
  </si>
  <si>
    <t>WKK interne verbrandinsgmotor (gas)</t>
  </si>
  <si>
    <t>De Lichterveldestraat 1 , 9810 Eke</t>
  </si>
  <si>
    <t>De Backer bvba</t>
  </si>
  <si>
    <t>Steenweg 131 , 9810 Nazareth</t>
  </si>
  <si>
    <t>WKK-0189 De Backer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</si>
</sst>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44048</v>
      </c>
      <c r="B6" s="396"/>
      <c r="C6" s="397"/>
    </row>
    <row r="7" spans="1:7" s="394" customFormat="1" ht="15.75" customHeight="1">
      <c r="A7" s="398" t="str">
        <f>txtMunicipality</f>
        <v>NAZARETH</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28339.329609256238</v>
      </c>
      <c r="D10" s="702">
        <f ca="1">tertiair!C16</f>
        <v>1259.7321428571429</v>
      </c>
      <c r="E10" s="702">
        <f ca="1">tertiair!D16</f>
        <v>10364.065676030545</v>
      </c>
      <c r="F10" s="702">
        <f>tertiair!E16</f>
        <v>527.05332629847396</v>
      </c>
      <c r="G10" s="702">
        <f ca="1">tertiair!F16</f>
        <v>4826.4192329166099</v>
      </c>
      <c r="H10" s="702">
        <f>tertiair!G16</f>
        <v>0</v>
      </c>
      <c r="I10" s="702">
        <f>tertiair!H16</f>
        <v>0</v>
      </c>
      <c r="J10" s="702">
        <f>tertiair!I16</f>
        <v>0</v>
      </c>
      <c r="K10" s="702">
        <f>tertiair!J16</f>
        <v>0</v>
      </c>
      <c r="L10" s="702">
        <f>tertiair!K16</f>
        <v>0</v>
      </c>
      <c r="M10" s="702">
        <f ca="1">tertiair!L16</f>
        <v>0</v>
      </c>
      <c r="N10" s="702">
        <f>tertiair!M16</f>
        <v>0</v>
      </c>
      <c r="O10" s="702">
        <f ca="1">tertiair!N16</f>
        <v>577.79561999578914</v>
      </c>
      <c r="P10" s="702">
        <f>tertiair!O16</f>
        <v>1.5633333333333335</v>
      </c>
      <c r="Q10" s="703">
        <f>tertiair!P16</f>
        <v>19.066666666666666</v>
      </c>
      <c r="R10" s="705">
        <f ca="1">SUM(C10:Q10)</f>
        <v>45915.025607354801</v>
      </c>
      <c r="S10" s="67"/>
    </row>
    <row r="11" spans="1:19" s="457" customFormat="1">
      <c r="A11" s="858" t="s">
        <v>226</v>
      </c>
      <c r="B11" s="863"/>
      <c r="C11" s="702">
        <f>huishoudens!B8</f>
        <v>24586.28754510983</v>
      </c>
      <c r="D11" s="702">
        <f>huishoudens!C8</f>
        <v>0</v>
      </c>
      <c r="E11" s="702">
        <f>huishoudens!D8</f>
        <v>15327.309538834586</v>
      </c>
      <c r="F11" s="702">
        <f>huishoudens!E8</f>
        <v>2102.1115340132233</v>
      </c>
      <c r="G11" s="702">
        <f>huishoudens!F8</f>
        <v>44049.108101576334</v>
      </c>
      <c r="H11" s="702">
        <f>huishoudens!G8</f>
        <v>0</v>
      </c>
      <c r="I11" s="702">
        <f>huishoudens!H8</f>
        <v>0</v>
      </c>
      <c r="J11" s="702">
        <f>huishoudens!I8</f>
        <v>0</v>
      </c>
      <c r="K11" s="702">
        <f>huishoudens!J8</f>
        <v>1526.0977726210103</v>
      </c>
      <c r="L11" s="702">
        <f>huishoudens!K8</f>
        <v>0</v>
      </c>
      <c r="M11" s="702">
        <f>huishoudens!L8</f>
        <v>0</v>
      </c>
      <c r="N11" s="702">
        <f>huishoudens!M8</f>
        <v>0</v>
      </c>
      <c r="O11" s="702">
        <f>huishoudens!N8</f>
        <v>8688.7562925202001</v>
      </c>
      <c r="P11" s="702">
        <f>huishoudens!O8</f>
        <v>84.42</v>
      </c>
      <c r="Q11" s="703">
        <f>huishoudens!P8</f>
        <v>400.4</v>
      </c>
      <c r="R11" s="705">
        <f>SUM(C11:Q11)</f>
        <v>96764.490784675188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48721.680942843348</v>
      </c>
      <c r="D13" s="702">
        <f>industrie!C18</f>
        <v>0</v>
      </c>
      <c r="E13" s="702">
        <f>industrie!D18</f>
        <v>34964.408709228643</v>
      </c>
      <c r="F13" s="702">
        <f>industrie!E18</f>
        <v>532.07671326151217</v>
      </c>
      <c r="G13" s="702">
        <f>industrie!F18</f>
        <v>11446.61363073211</v>
      </c>
      <c r="H13" s="702">
        <f>industrie!G18</f>
        <v>0</v>
      </c>
      <c r="I13" s="702">
        <f>industrie!H18</f>
        <v>0</v>
      </c>
      <c r="J13" s="702">
        <f>industrie!I18</f>
        <v>0</v>
      </c>
      <c r="K13" s="702">
        <f>industrie!J18</f>
        <v>283.47037388286424</v>
      </c>
      <c r="L13" s="702">
        <f>industrie!K18</f>
        <v>0</v>
      </c>
      <c r="M13" s="702">
        <f>industrie!L18</f>
        <v>0</v>
      </c>
      <c r="N13" s="702">
        <f>industrie!M18</f>
        <v>0</v>
      </c>
      <c r="O13" s="702">
        <f>industrie!N18</f>
        <v>980.60468148207519</v>
      </c>
      <c r="P13" s="702">
        <f>industrie!O18</f>
        <v>0</v>
      </c>
      <c r="Q13" s="703">
        <f>industrie!P18</f>
        <v>0</v>
      </c>
      <c r="R13" s="705">
        <f>SUM(C13:Q13)</f>
        <v>96928.855051430568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101647.29809720942</v>
      </c>
      <c r="D15" s="707">
        <f t="shared" ref="D15:Q15" ca="1" si="0">SUM(D9:D14)</f>
        <v>1259.7321428571429</v>
      </c>
      <c r="E15" s="707">
        <f t="shared" ca="1" si="0"/>
        <v>60655.783924093776</v>
      </c>
      <c r="F15" s="707">
        <f t="shared" si="0"/>
        <v>3161.2415735732093</v>
      </c>
      <c r="G15" s="707">
        <f t="shared" ca="1" si="0"/>
        <v>60322.140965225059</v>
      </c>
      <c r="H15" s="707">
        <f t="shared" si="0"/>
        <v>0</v>
      </c>
      <c r="I15" s="707">
        <f t="shared" si="0"/>
        <v>0</v>
      </c>
      <c r="J15" s="707">
        <f t="shared" si="0"/>
        <v>0</v>
      </c>
      <c r="K15" s="707">
        <f t="shared" si="0"/>
        <v>1809.5681465038747</v>
      </c>
      <c r="L15" s="707">
        <f t="shared" si="0"/>
        <v>0</v>
      </c>
      <c r="M15" s="707">
        <f t="shared" ca="1" si="0"/>
        <v>0</v>
      </c>
      <c r="N15" s="707">
        <f t="shared" si="0"/>
        <v>0</v>
      </c>
      <c r="O15" s="707">
        <f t="shared" ca="1" si="0"/>
        <v>10247.156593998065</v>
      </c>
      <c r="P15" s="707">
        <f t="shared" si="0"/>
        <v>85.983333333333334</v>
      </c>
      <c r="Q15" s="708">
        <f t="shared" si="0"/>
        <v>419.46666666666664</v>
      </c>
      <c r="R15" s="709">
        <f ca="1">SUM(R9:R14)</f>
        <v>239608.37144346058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883.50362934597217</v>
      </c>
      <c r="I18" s="702">
        <f>transport!H54</f>
        <v>0</v>
      </c>
      <c r="J18" s="702">
        <f>transport!I54</f>
        <v>0</v>
      </c>
      <c r="K18" s="702">
        <f>transport!J54</f>
        <v>0</v>
      </c>
      <c r="L18" s="702">
        <f>transport!K54</f>
        <v>0</v>
      </c>
      <c r="M18" s="702">
        <f>transport!L54</f>
        <v>0</v>
      </c>
      <c r="N18" s="702">
        <f>transport!M54</f>
        <v>37.659921358204421</v>
      </c>
      <c r="O18" s="702">
        <f>transport!N54</f>
        <v>0</v>
      </c>
      <c r="P18" s="702">
        <f>transport!O54</f>
        <v>0</v>
      </c>
      <c r="Q18" s="703">
        <f>transport!P54</f>
        <v>0</v>
      </c>
      <c r="R18" s="705">
        <f>SUM(C18:Q18)</f>
        <v>921.1635507041766</v>
      </c>
      <c r="S18" s="67"/>
    </row>
    <row r="19" spans="1:19" s="457" customFormat="1" ht="15" thickBot="1">
      <c r="A19" s="858" t="s">
        <v>308</v>
      </c>
      <c r="B19" s="863"/>
      <c r="C19" s="711">
        <f>transport!B14</f>
        <v>2.2932479664560739</v>
      </c>
      <c r="D19" s="711">
        <f>transport!C14</f>
        <v>0</v>
      </c>
      <c r="E19" s="711">
        <f>transport!D14</f>
        <v>10.68407058927424</v>
      </c>
      <c r="F19" s="711">
        <f>transport!E14</f>
        <v>1263.7677049702361</v>
      </c>
      <c r="G19" s="711">
        <f>transport!F14</f>
        <v>0</v>
      </c>
      <c r="H19" s="711">
        <f>transport!G14</f>
        <v>304163.68350853882</v>
      </c>
      <c r="I19" s="711">
        <f>transport!H14</f>
        <v>37017.489150643909</v>
      </c>
      <c r="J19" s="711">
        <f>transport!I14</f>
        <v>0</v>
      </c>
      <c r="K19" s="711">
        <f>transport!J14</f>
        <v>0</v>
      </c>
      <c r="L19" s="711">
        <f>transport!K14</f>
        <v>0</v>
      </c>
      <c r="M19" s="711">
        <f>transport!L14</f>
        <v>0</v>
      </c>
      <c r="N19" s="711">
        <f>transport!M14</f>
        <v>14847.100870176911</v>
      </c>
      <c r="O19" s="711">
        <f>transport!N14</f>
        <v>0</v>
      </c>
      <c r="P19" s="711">
        <f>transport!O14</f>
        <v>0</v>
      </c>
      <c r="Q19" s="712">
        <f>transport!P14</f>
        <v>0</v>
      </c>
      <c r="R19" s="713">
        <f>SUM(C19:Q19)</f>
        <v>357305.01855288562</v>
      </c>
      <c r="S19" s="67"/>
    </row>
    <row r="20" spans="1:19" s="457" customFormat="1" ht="15.75" thickBot="1">
      <c r="A20" s="714" t="s">
        <v>231</v>
      </c>
      <c r="B20" s="866"/>
      <c r="C20" s="861">
        <f>SUM(C17:C19)</f>
        <v>2.2932479664560739</v>
      </c>
      <c r="D20" s="715">
        <f t="shared" ref="D20:R20" si="1">SUM(D17:D19)</f>
        <v>0</v>
      </c>
      <c r="E20" s="715">
        <f t="shared" si="1"/>
        <v>10.68407058927424</v>
      </c>
      <c r="F20" s="715">
        <f t="shared" si="1"/>
        <v>1263.7677049702361</v>
      </c>
      <c r="G20" s="715">
        <f t="shared" si="1"/>
        <v>0</v>
      </c>
      <c r="H20" s="715">
        <f t="shared" si="1"/>
        <v>305047.18713788479</v>
      </c>
      <c r="I20" s="715">
        <f t="shared" si="1"/>
        <v>37017.489150643909</v>
      </c>
      <c r="J20" s="715">
        <f t="shared" si="1"/>
        <v>0</v>
      </c>
      <c r="K20" s="715">
        <f t="shared" si="1"/>
        <v>0</v>
      </c>
      <c r="L20" s="715">
        <f t="shared" si="1"/>
        <v>0</v>
      </c>
      <c r="M20" s="715">
        <f t="shared" si="1"/>
        <v>0</v>
      </c>
      <c r="N20" s="715">
        <f t="shared" si="1"/>
        <v>14884.760791535116</v>
      </c>
      <c r="O20" s="715">
        <f t="shared" si="1"/>
        <v>0</v>
      </c>
      <c r="P20" s="715">
        <f t="shared" si="1"/>
        <v>0</v>
      </c>
      <c r="Q20" s="716">
        <f t="shared" si="1"/>
        <v>0</v>
      </c>
      <c r="R20" s="717">
        <f t="shared" si="1"/>
        <v>358226.18210358982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1722.857814422925</v>
      </c>
      <c r="D22" s="711">
        <f>+landbouw!C8</f>
        <v>0</v>
      </c>
      <c r="E22" s="711">
        <f>+landbouw!D8</f>
        <v>1446.2556790644603</v>
      </c>
      <c r="F22" s="711">
        <f>+landbouw!E8</f>
        <v>18.042140016143513</v>
      </c>
      <c r="G22" s="711">
        <f>+landbouw!F8</f>
        <v>8848.8720556496555</v>
      </c>
      <c r="H22" s="711">
        <f>+landbouw!G8</f>
        <v>0</v>
      </c>
      <c r="I22" s="711">
        <f>+landbouw!H8</f>
        <v>0</v>
      </c>
      <c r="J22" s="711">
        <f>+landbouw!I8</f>
        <v>0</v>
      </c>
      <c r="K22" s="711">
        <f>+landbouw!J8</f>
        <v>153.8666450659972</v>
      </c>
      <c r="L22" s="711">
        <f>+landbouw!K8</f>
        <v>0</v>
      </c>
      <c r="M22" s="711">
        <f>+landbouw!L8</f>
        <v>0</v>
      </c>
      <c r="N22" s="711">
        <f>+landbouw!M8</f>
        <v>0</v>
      </c>
      <c r="O22" s="711">
        <f>+landbouw!N8</f>
        <v>0</v>
      </c>
      <c r="P22" s="711">
        <f>+landbouw!O8</f>
        <v>0</v>
      </c>
      <c r="Q22" s="712">
        <f>+landbouw!P8</f>
        <v>0</v>
      </c>
      <c r="R22" s="713">
        <f>SUM(C22:Q22)</f>
        <v>12189.894334219181</v>
      </c>
      <c r="S22" s="67"/>
    </row>
    <row r="23" spans="1:19" s="457" customFormat="1" ht="17.25" thickTop="1" thickBot="1">
      <c r="A23" s="718" t="s">
        <v>116</v>
      </c>
      <c r="B23" s="852"/>
      <c r="C23" s="719">
        <f ca="1">C20+C15+C22</f>
        <v>103372.44915959881</v>
      </c>
      <c r="D23" s="719">
        <f t="shared" ref="D23:Q23" ca="1" si="2">D20+D15+D22</f>
        <v>1259.7321428571429</v>
      </c>
      <c r="E23" s="719">
        <f t="shared" ca="1" si="2"/>
        <v>62112.72367374751</v>
      </c>
      <c r="F23" s="719">
        <f t="shared" si="2"/>
        <v>4443.0514185595885</v>
      </c>
      <c r="G23" s="719">
        <f t="shared" ca="1" si="2"/>
        <v>69171.013020874714</v>
      </c>
      <c r="H23" s="719">
        <f t="shared" si="2"/>
        <v>305047.18713788479</v>
      </c>
      <c r="I23" s="719">
        <f t="shared" si="2"/>
        <v>37017.489150643909</v>
      </c>
      <c r="J23" s="719">
        <f t="shared" si="2"/>
        <v>0</v>
      </c>
      <c r="K23" s="719">
        <f t="shared" si="2"/>
        <v>1963.4347915698718</v>
      </c>
      <c r="L23" s="719">
        <f t="shared" si="2"/>
        <v>0</v>
      </c>
      <c r="M23" s="719">
        <f t="shared" ca="1" si="2"/>
        <v>0</v>
      </c>
      <c r="N23" s="719">
        <f t="shared" si="2"/>
        <v>14884.760791535116</v>
      </c>
      <c r="O23" s="719">
        <f t="shared" ca="1" si="2"/>
        <v>10247.156593998065</v>
      </c>
      <c r="P23" s="719">
        <f t="shared" si="2"/>
        <v>85.983333333333334</v>
      </c>
      <c r="Q23" s="720">
        <f t="shared" si="2"/>
        <v>419.46666666666664</v>
      </c>
      <c r="R23" s="721">
        <f ca="1">R20+R15+R22</f>
        <v>610024.4478812695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6073.5324023510029</v>
      </c>
      <c r="D36" s="702">
        <f ca="1">tertiair!C20</f>
        <v>299.21375015247946</v>
      </c>
      <c r="E36" s="702">
        <f ca="1">tertiair!D20</f>
        <v>2093.5412665581703</v>
      </c>
      <c r="F36" s="702">
        <f>tertiair!E20</f>
        <v>119.64110506975359</v>
      </c>
      <c r="G36" s="702">
        <f ca="1">tertiair!F20</f>
        <v>1288.653935188735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9874.5824593201414</v>
      </c>
    </row>
    <row r="37" spans="1:18">
      <c r="A37" s="873" t="s">
        <v>226</v>
      </c>
      <c r="B37" s="880"/>
      <c r="C37" s="702">
        <f ca="1">huishoudens!B12</f>
        <v>5269.2006521555286</v>
      </c>
      <c r="D37" s="702">
        <f ca="1">huishoudens!C12</f>
        <v>0</v>
      </c>
      <c r="E37" s="702">
        <f>huishoudens!D12</f>
        <v>3096.1165268445866</v>
      </c>
      <c r="F37" s="702">
        <f>huishoudens!E12</f>
        <v>477.17931822100172</v>
      </c>
      <c r="G37" s="702">
        <f>huishoudens!F12</f>
        <v>11761.111863120881</v>
      </c>
      <c r="H37" s="702">
        <f>huishoudens!G12</f>
        <v>0</v>
      </c>
      <c r="I37" s="702">
        <f>huishoudens!H12</f>
        <v>0</v>
      </c>
      <c r="J37" s="702">
        <f>huishoudens!I12</f>
        <v>0</v>
      </c>
      <c r="K37" s="702">
        <f>huishoudens!J12</f>
        <v>540.23861150783762</v>
      </c>
      <c r="L37" s="702">
        <f>huishoudens!K12</f>
        <v>0</v>
      </c>
      <c r="M37" s="702">
        <f>huishoudens!L12</f>
        <v>0</v>
      </c>
      <c r="N37" s="702">
        <f>huishoudens!M12</f>
        <v>0</v>
      </c>
      <c r="O37" s="702">
        <f>huishoudens!N12</f>
        <v>0</v>
      </c>
      <c r="P37" s="702">
        <f>huishoudens!O12</f>
        <v>0</v>
      </c>
      <c r="Q37" s="812">
        <f>huishoudens!P12</f>
        <v>0</v>
      </c>
      <c r="R37" s="905">
        <f ca="1">SUM(C37:Q37)</f>
        <v>21143.846971849835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10441.768100495749</v>
      </c>
      <c r="D39" s="702">
        <f ca="1">industrie!C22</f>
        <v>0</v>
      </c>
      <c r="E39" s="702">
        <f>industrie!D22</f>
        <v>7062.8105592641859</v>
      </c>
      <c r="F39" s="702">
        <f>industrie!E22</f>
        <v>120.78141391036327</v>
      </c>
      <c r="G39" s="702">
        <f>industrie!F22</f>
        <v>3056.2458394054738</v>
      </c>
      <c r="H39" s="702">
        <f>industrie!G22</f>
        <v>0</v>
      </c>
      <c r="I39" s="702">
        <f>industrie!H22</f>
        <v>0</v>
      </c>
      <c r="J39" s="702">
        <f>industrie!I22</f>
        <v>0</v>
      </c>
      <c r="K39" s="702">
        <f>industrie!J22</f>
        <v>100.34851235453394</v>
      </c>
      <c r="L39" s="702">
        <f>industrie!K22</f>
        <v>0</v>
      </c>
      <c r="M39" s="702">
        <f>industrie!L22</f>
        <v>0</v>
      </c>
      <c r="N39" s="702">
        <f>industrie!M22</f>
        <v>0</v>
      </c>
      <c r="O39" s="702">
        <f>industrie!N22</f>
        <v>0</v>
      </c>
      <c r="P39" s="702">
        <f>industrie!O22</f>
        <v>0</v>
      </c>
      <c r="Q39" s="812">
        <f>industrie!P22</f>
        <v>0</v>
      </c>
      <c r="R39" s="906">
        <f ca="1">SUM(C39:Q39)</f>
        <v>20781.954425430307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21784.501155002279</v>
      </c>
      <c r="D41" s="747">
        <f t="shared" ref="D41:R41" ca="1" si="4">SUM(D35:D40)</f>
        <v>299.21375015247946</v>
      </c>
      <c r="E41" s="747">
        <f t="shared" ca="1" si="4"/>
        <v>12252.468352666943</v>
      </c>
      <c r="F41" s="747">
        <f t="shared" si="4"/>
        <v>717.60183720111866</v>
      </c>
      <c r="G41" s="747">
        <f t="shared" ca="1" si="4"/>
        <v>16106.01163771509</v>
      </c>
      <c r="H41" s="747">
        <f t="shared" si="4"/>
        <v>0</v>
      </c>
      <c r="I41" s="747">
        <f t="shared" si="4"/>
        <v>0</v>
      </c>
      <c r="J41" s="747">
        <f t="shared" si="4"/>
        <v>0</v>
      </c>
      <c r="K41" s="747">
        <f t="shared" si="4"/>
        <v>640.58712386237153</v>
      </c>
      <c r="L41" s="747">
        <f t="shared" si="4"/>
        <v>0</v>
      </c>
      <c r="M41" s="747">
        <f t="shared" ca="1" si="4"/>
        <v>0</v>
      </c>
      <c r="N41" s="747">
        <f t="shared" si="4"/>
        <v>0</v>
      </c>
      <c r="O41" s="747">
        <f t="shared" ca="1" si="4"/>
        <v>0</v>
      </c>
      <c r="P41" s="747">
        <f t="shared" si="4"/>
        <v>0</v>
      </c>
      <c r="Q41" s="748">
        <f t="shared" si="4"/>
        <v>0</v>
      </c>
      <c r="R41" s="749">
        <f t="shared" ca="1" si="4"/>
        <v>51800.383856600281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235.89546903537459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235.89546903537459</v>
      </c>
    </row>
    <row r="45" spans="1:18" ht="15" thickBot="1">
      <c r="A45" s="876" t="s">
        <v>308</v>
      </c>
      <c r="B45" s="886"/>
      <c r="C45" s="711">
        <f ca="1">transport!B18</f>
        <v>0.49147654595002443</v>
      </c>
      <c r="D45" s="711">
        <f>transport!C18</f>
        <v>0</v>
      </c>
      <c r="E45" s="711">
        <f>transport!D18</f>
        <v>2.1581822590333966</v>
      </c>
      <c r="F45" s="711">
        <f>transport!E18</f>
        <v>286.87526902824362</v>
      </c>
      <c r="G45" s="711">
        <f>transport!F18</f>
        <v>0</v>
      </c>
      <c r="H45" s="711">
        <f>transport!G18</f>
        <v>81211.703496779868</v>
      </c>
      <c r="I45" s="711">
        <f>transport!H18</f>
        <v>9217.3547985103341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90718.583223123438</v>
      </c>
    </row>
    <row r="46" spans="1:18" ht="15.75" thickBot="1">
      <c r="A46" s="874" t="s">
        <v>231</v>
      </c>
      <c r="B46" s="887"/>
      <c r="C46" s="747">
        <f t="shared" ref="C46:R46" ca="1" si="5">SUM(C43:C45)</f>
        <v>0.49147654595002443</v>
      </c>
      <c r="D46" s="747">
        <f t="shared" ca="1" si="5"/>
        <v>0</v>
      </c>
      <c r="E46" s="747">
        <f t="shared" si="5"/>
        <v>2.1581822590333966</v>
      </c>
      <c r="F46" s="747">
        <f t="shared" si="5"/>
        <v>286.87526902824362</v>
      </c>
      <c r="G46" s="747">
        <f t="shared" si="5"/>
        <v>0</v>
      </c>
      <c r="H46" s="747">
        <f t="shared" si="5"/>
        <v>81447.598965815239</v>
      </c>
      <c r="I46" s="747">
        <f t="shared" si="5"/>
        <v>9217.3547985103341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90954.478692158809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369.2336023758146</v>
      </c>
      <c r="D48" s="702">
        <f ca="1">+landbouw!C12</f>
        <v>0</v>
      </c>
      <c r="E48" s="702">
        <f>+landbouw!D12</f>
        <v>292.14364717102097</v>
      </c>
      <c r="F48" s="702">
        <f>+landbouw!E12</f>
        <v>4.0955657836645774</v>
      </c>
      <c r="G48" s="702">
        <f>+landbouw!F12</f>
        <v>2362.648838858458</v>
      </c>
      <c r="H48" s="702">
        <f>+landbouw!G12</f>
        <v>0</v>
      </c>
      <c r="I48" s="702">
        <f>+landbouw!H12</f>
        <v>0</v>
      </c>
      <c r="J48" s="702">
        <f>+landbouw!I12</f>
        <v>0</v>
      </c>
      <c r="K48" s="702">
        <f>+landbouw!J12</f>
        <v>54.468792353363007</v>
      </c>
      <c r="L48" s="702">
        <f>+landbouw!K12</f>
        <v>0</v>
      </c>
      <c r="M48" s="702">
        <f>+landbouw!L12</f>
        <v>0</v>
      </c>
      <c r="N48" s="702">
        <f>+landbouw!M12</f>
        <v>0</v>
      </c>
      <c r="O48" s="702">
        <f>+landbouw!N12</f>
        <v>0</v>
      </c>
      <c r="P48" s="702">
        <f>+landbouw!O12</f>
        <v>0</v>
      </c>
      <c r="Q48" s="703">
        <f>+landbouw!P12</f>
        <v>0</v>
      </c>
      <c r="R48" s="745">
        <f ca="1">SUM(C48:Q48)</f>
        <v>3082.5904465423209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22154.226233924044</v>
      </c>
      <c r="D53" s="757">
        <f t="shared" ref="D53:Q53" ca="1" si="6">D41+D46+D48</f>
        <v>299.21375015247946</v>
      </c>
      <c r="E53" s="757">
        <f t="shared" ca="1" si="6"/>
        <v>12546.770182096998</v>
      </c>
      <c r="F53" s="757">
        <f t="shared" si="6"/>
        <v>1008.5726720130269</v>
      </c>
      <c r="G53" s="757">
        <f t="shared" ca="1" si="6"/>
        <v>18468.660476573546</v>
      </c>
      <c r="H53" s="757">
        <f t="shared" si="6"/>
        <v>81447.598965815239</v>
      </c>
      <c r="I53" s="757">
        <f t="shared" si="6"/>
        <v>9217.3547985103341</v>
      </c>
      <c r="J53" s="757">
        <f t="shared" si="6"/>
        <v>0</v>
      </c>
      <c r="K53" s="757">
        <f t="shared" si="6"/>
        <v>695.05591621573456</v>
      </c>
      <c r="L53" s="757">
        <f t="shared" si="6"/>
        <v>0</v>
      </c>
      <c r="M53" s="757">
        <f t="shared" ca="1" si="6"/>
        <v>0</v>
      </c>
      <c r="N53" s="757">
        <f t="shared" si="6"/>
        <v>0</v>
      </c>
      <c r="O53" s="757">
        <f t="shared" ca="1" si="6"/>
        <v>0</v>
      </c>
      <c r="P53" s="757">
        <f>P41+P46+P48</f>
        <v>0</v>
      </c>
      <c r="Q53" s="758">
        <f t="shared" si="6"/>
        <v>0</v>
      </c>
      <c r="R53" s="759">
        <f ca="1">R41+R46+R48</f>
        <v>145837.4529953014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0.21431461104031393</v>
      </c>
      <c r="D55" s="823">
        <f t="shared" ca="1" si="7"/>
        <v>0.23752172384348783</v>
      </c>
      <c r="E55" s="823">
        <f t="shared" ca="1" si="7"/>
        <v>0.20200000000000001</v>
      </c>
      <c r="F55" s="823">
        <f t="shared" si="7"/>
        <v>0.22700000000000009</v>
      </c>
      <c r="G55" s="823">
        <f t="shared" ca="1" si="7"/>
        <v>0.26699999999999996</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3192.3741670094769</v>
      </c>
      <c r="C66" s="779">
        <f>'lokale energieproductie'!B6</f>
        <v>3192.3741670094769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873.375</v>
      </c>
      <c r="C67" s="778">
        <f>B67*IFERROR(SUM(J67:L67)/SUM(D67:M67),0)</f>
        <v>0</v>
      </c>
      <c r="D67" s="810">
        <f>'lokale energieproductie'!C7</f>
        <v>1026.9580968406249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207.44553556180622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4065.7491670094769</v>
      </c>
      <c r="C69" s="787">
        <f>SUM(C64:C68)</f>
        <v>3192.3741670094769</v>
      </c>
      <c r="D69" s="788">
        <f t="shared" ref="D69:M69" si="8">SUM(D67:D68)</f>
        <v>1026.9580968406249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207.44553556180622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1259.7321428571429</v>
      </c>
      <c r="C78" s="801">
        <f>B78*IFERROR(SUM(I78:L78)/SUM(D78:M78),0)</f>
        <v>0</v>
      </c>
      <c r="D78" s="816">
        <f>'lokale energieproductie'!C16</f>
        <v>1481.2561888736607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299.21375015247946</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1259.7321428571429</v>
      </c>
      <c r="C81" s="787">
        <f>SUM(C78:C80)</f>
        <v>0</v>
      </c>
      <c r="D81" s="787">
        <f t="shared" ref="D81:P81" si="9">SUM(D78:D80)</f>
        <v>1481.2561888736607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299.21375015247946</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24586.28754510983</v>
      </c>
      <c r="C4" s="461">
        <f>huishoudens!C8</f>
        <v>0</v>
      </c>
      <c r="D4" s="461">
        <f>huishoudens!D8</f>
        <v>15327.309538834586</v>
      </c>
      <c r="E4" s="461">
        <f>huishoudens!E8</f>
        <v>2102.1115340132233</v>
      </c>
      <c r="F4" s="461">
        <f>huishoudens!F8</f>
        <v>44049.108101576334</v>
      </c>
      <c r="G4" s="461">
        <f>huishoudens!G8</f>
        <v>0</v>
      </c>
      <c r="H4" s="461">
        <f>huishoudens!H8</f>
        <v>0</v>
      </c>
      <c r="I4" s="461">
        <f>huishoudens!I8</f>
        <v>0</v>
      </c>
      <c r="J4" s="461">
        <f>huishoudens!J8</f>
        <v>1526.0977726210103</v>
      </c>
      <c r="K4" s="461">
        <f>huishoudens!K8</f>
        <v>0</v>
      </c>
      <c r="L4" s="461">
        <f>huishoudens!L8</f>
        <v>0</v>
      </c>
      <c r="M4" s="461">
        <f>huishoudens!M8</f>
        <v>0</v>
      </c>
      <c r="N4" s="461">
        <f>huishoudens!N8</f>
        <v>8688.7562925202001</v>
      </c>
      <c r="O4" s="461">
        <f>huishoudens!O8</f>
        <v>84.42</v>
      </c>
      <c r="P4" s="462">
        <f>huishoudens!P8</f>
        <v>400.4</v>
      </c>
      <c r="Q4" s="463">
        <f>SUM(B4:P4)</f>
        <v>96764.490784675188</v>
      </c>
    </row>
    <row r="5" spans="1:17">
      <c r="A5" s="460" t="s">
        <v>156</v>
      </c>
      <c r="B5" s="461">
        <f ca="1">tertiair!B16</f>
        <v>27327.089609256236</v>
      </c>
      <c r="C5" s="461">
        <f ca="1">tertiair!C16</f>
        <v>1259.7321428571429</v>
      </c>
      <c r="D5" s="461">
        <f ca="1">tertiair!D16</f>
        <v>10364.065676030545</v>
      </c>
      <c r="E5" s="461">
        <f>tertiair!E16</f>
        <v>527.05332629847396</v>
      </c>
      <c r="F5" s="461">
        <f ca="1">tertiair!F16</f>
        <v>4826.4192329166099</v>
      </c>
      <c r="G5" s="461">
        <f>tertiair!G16</f>
        <v>0</v>
      </c>
      <c r="H5" s="461">
        <f>tertiair!H16</f>
        <v>0</v>
      </c>
      <c r="I5" s="461">
        <f>tertiair!I16</f>
        <v>0</v>
      </c>
      <c r="J5" s="461">
        <f>tertiair!J16</f>
        <v>0</v>
      </c>
      <c r="K5" s="461">
        <f>tertiair!K16</f>
        <v>0</v>
      </c>
      <c r="L5" s="461">
        <f ca="1">tertiair!L16</f>
        <v>0</v>
      </c>
      <c r="M5" s="461">
        <f>tertiair!M16</f>
        <v>0</v>
      </c>
      <c r="N5" s="461">
        <f ca="1">tertiair!N16</f>
        <v>577.79561999578914</v>
      </c>
      <c r="O5" s="461">
        <f>tertiair!O16</f>
        <v>1.5633333333333335</v>
      </c>
      <c r="P5" s="462">
        <f>tertiair!P16</f>
        <v>19.066666666666666</v>
      </c>
      <c r="Q5" s="460">
        <f t="shared" ref="Q5:Q13" ca="1" si="0">SUM(B5:P5)</f>
        <v>44902.785607354796</v>
      </c>
    </row>
    <row r="6" spans="1:17">
      <c r="A6" s="460" t="s">
        <v>195</v>
      </c>
      <c r="B6" s="461">
        <f>'openbare verlichting'!B8</f>
        <v>1012.24</v>
      </c>
      <c r="C6" s="461"/>
      <c r="D6" s="461"/>
      <c r="E6" s="461"/>
      <c r="F6" s="461"/>
      <c r="G6" s="461"/>
      <c r="H6" s="461"/>
      <c r="I6" s="461"/>
      <c r="J6" s="461"/>
      <c r="K6" s="461"/>
      <c r="L6" s="461"/>
      <c r="M6" s="461"/>
      <c r="N6" s="461"/>
      <c r="O6" s="461"/>
      <c r="P6" s="462"/>
      <c r="Q6" s="460">
        <f t="shared" si="0"/>
        <v>1012.24</v>
      </c>
    </row>
    <row r="7" spans="1:17">
      <c r="A7" s="460" t="s">
        <v>112</v>
      </c>
      <c r="B7" s="461">
        <f>landbouw!B8</f>
        <v>1722.857814422925</v>
      </c>
      <c r="C7" s="461">
        <f>landbouw!C8</f>
        <v>0</v>
      </c>
      <c r="D7" s="461">
        <f>landbouw!D8</f>
        <v>1446.2556790644603</v>
      </c>
      <c r="E7" s="461">
        <f>landbouw!E8</f>
        <v>18.042140016143513</v>
      </c>
      <c r="F7" s="461">
        <f>landbouw!F8</f>
        <v>8848.8720556496555</v>
      </c>
      <c r="G7" s="461">
        <f>landbouw!G8</f>
        <v>0</v>
      </c>
      <c r="H7" s="461">
        <f>landbouw!H8</f>
        <v>0</v>
      </c>
      <c r="I7" s="461">
        <f>landbouw!I8</f>
        <v>0</v>
      </c>
      <c r="J7" s="461">
        <f>landbouw!J8</f>
        <v>153.8666450659972</v>
      </c>
      <c r="K7" s="461">
        <f>landbouw!K8</f>
        <v>0</v>
      </c>
      <c r="L7" s="461">
        <f>landbouw!L8</f>
        <v>0</v>
      </c>
      <c r="M7" s="461">
        <f>landbouw!M8</f>
        <v>0</v>
      </c>
      <c r="N7" s="461">
        <f>landbouw!N8</f>
        <v>0</v>
      </c>
      <c r="O7" s="461">
        <f>landbouw!O8</f>
        <v>0</v>
      </c>
      <c r="P7" s="462">
        <f>landbouw!P8</f>
        <v>0</v>
      </c>
      <c r="Q7" s="460">
        <f t="shared" si="0"/>
        <v>12189.894334219181</v>
      </c>
    </row>
    <row r="8" spans="1:17">
      <c r="A8" s="460" t="s">
        <v>656</v>
      </c>
      <c r="B8" s="461">
        <f>industrie!B18</f>
        <v>48721.680942843348</v>
      </c>
      <c r="C8" s="461">
        <f>industrie!C18</f>
        <v>0</v>
      </c>
      <c r="D8" s="461">
        <f>industrie!D18</f>
        <v>34964.408709228643</v>
      </c>
      <c r="E8" s="461">
        <f>industrie!E18</f>
        <v>532.07671326151217</v>
      </c>
      <c r="F8" s="461">
        <f>industrie!F18</f>
        <v>11446.61363073211</v>
      </c>
      <c r="G8" s="461">
        <f>industrie!G18</f>
        <v>0</v>
      </c>
      <c r="H8" s="461">
        <f>industrie!H18</f>
        <v>0</v>
      </c>
      <c r="I8" s="461">
        <f>industrie!I18</f>
        <v>0</v>
      </c>
      <c r="J8" s="461">
        <f>industrie!J18</f>
        <v>283.47037388286424</v>
      </c>
      <c r="K8" s="461">
        <f>industrie!K18</f>
        <v>0</v>
      </c>
      <c r="L8" s="461">
        <f>industrie!L18</f>
        <v>0</v>
      </c>
      <c r="M8" s="461">
        <f>industrie!M18</f>
        <v>0</v>
      </c>
      <c r="N8" s="461">
        <f>industrie!N18</f>
        <v>980.60468148207519</v>
      </c>
      <c r="O8" s="461">
        <f>industrie!O18</f>
        <v>0</v>
      </c>
      <c r="P8" s="462">
        <f>industrie!P18</f>
        <v>0</v>
      </c>
      <c r="Q8" s="460">
        <f t="shared" si="0"/>
        <v>96928.855051430568</v>
      </c>
    </row>
    <row r="9" spans="1:17" s="466" customFormat="1">
      <c r="A9" s="464" t="s">
        <v>574</v>
      </c>
      <c r="B9" s="465">
        <f>transport!B14</f>
        <v>2.2932479664560739</v>
      </c>
      <c r="C9" s="465">
        <f>transport!C14</f>
        <v>0</v>
      </c>
      <c r="D9" s="465">
        <f>transport!D14</f>
        <v>10.68407058927424</v>
      </c>
      <c r="E9" s="465">
        <f>transport!E14</f>
        <v>1263.7677049702361</v>
      </c>
      <c r="F9" s="465">
        <f>transport!F14</f>
        <v>0</v>
      </c>
      <c r="G9" s="465">
        <f>transport!G14</f>
        <v>304163.68350853882</v>
      </c>
      <c r="H9" s="465">
        <f>transport!H14</f>
        <v>37017.489150643909</v>
      </c>
      <c r="I9" s="465">
        <f>transport!I14</f>
        <v>0</v>
      </c>
      <c r="J9" s="465">
        <f>transport!J14</f>
        <v>0</v>
      </c>
      <c r="K9" s="465">
        <f>transport!K14</f>
        <v>0</v>
      </c>
      <c r="L9" s="465">
        <f>transport!L14</f>
        <v>0</v>
      </c>
      <c r="M9" s="465">
        <f>transport!M14</f>
        <v>14847.100870176911</v>
      </c>
      <c r="N9" s="465">
        <f>transport!N14</f>
        <v>0</v>
      </c>
      <c r="O9" s="465">
        <f>transport!O14</f>
        <v>0</v>
      </c>
      <c r="P9" s="465">
        <f>transport!P14</f>
        <v>0</v>
      </c>
      <c r="Q9" s="464">
        <f>SUM(B9:P9)</f>
        <v>357305.01855288562</v>
      </c>
    </row>
    <row r="10" spans="1:17">
      <c r="A10" s="460" t="s">
        <v>564</v>
      </c>
      <c r="B10" s="461">
        <f>transport!B54</f>
        <v>0</v>
      </c>
      <c r="C10" s="461">
        <f>transport!C54</f>
        <v>0</v>
      </c>
      <c r="D10" s="461">
        <f>transport!D54</f>
        <v>0</v>
      </c>
      <c r="E10" s="461">
        <f>transport!E54</f>
        <v>0</v>
      </c>
      <c r="F10" s="461">
        <f>transport!F54</f>
        <v>0</v>
      </c>
      <c r="G10" s="461">
        <f>transport!G54</f>
        <v>883.50362934597217</v>
      </c>
      <c r="H10" s="461">
        <f>transport!H54</f>
        <v>0</v>
      </c>
      <c r="I10" s="461">
        <f>transport!I54</f>
        <v>0</v>
      </c>
      <c r="J10" s="461">
        <f>transport!J54</f>
        <v>0</v>
      </c>
      <c r="K10" s="461">
        <f>transport!K54</f>
        <v>0</v>
      </c>
      <c r="L10" s="461">
        <f>transport!L54</f>
        <v>0</v>
      </c>
      <c r="M10" s="461">
        <f>transport!M54</f>
        <v>37.659921358204421</v>
      </c>
      <c r="N10" s="461">
        <f>transport!N54</f>
        <v>0</v>
      </c>
      <c r="O10" s="461">
        <f>transport!O54</f>
        <v>0</v>
      </c>
      <c r="P10" s="462">
        <f>transport!P54</f>
        <v>0</v>
      </c>
      <c r="Q10" s="460">
        <f t="shared" si="0"/>
        <v>921.1635507041766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103372.44915959881</v>
      </c>
      <c r="C14" s="471">
        <f t="shared" ref="C14:Q14" ca="1" si="1">SUM(C4:C13)</f>
        <v>1259.7321428571429</v>
      </c>
      <c r="D14" s="471">
        <f t="shared" ca="1" si="1"/>
        <v>62112.72367374751</v>
      </c>
      <c r="E14" s="471">
        <f t="shared" si="1"/>
        <v>4443.0514185595894</v>
      </c>
      <c r="F14" s="471">
        <f t="shared" ca="1" si="1"/>
        <v>69171.013020874714</v>
      </c>
      <c r="G14" s="471">
        <f t="shared" si="1"/>
        <v>305047.18713788479</v>
      </c>
      <c r="H14" s="471">
        <f t="shared" si="1"/>
        <v>37017.489150643909</v>
      </c>
      <c r="I14" s="471">
        <f t="shared" si="1"/>
        <v>0</v>
      </c>
      <c r="J14" s="471">
        <f t="shared" si="1"/>
        <v>1963.4347915698718</v>
      </c>
      <c r="K14" s="471">
        <f t="shared" si="1"/>
        <v>0</v>
      </c>
      <c r="L14" s="471">
        <f t="shared" ca="1" si="1"/>
        <v>0</v>
      </c>
      <c r="M14" s="471">
        <f t="shared" si="1"/>
        <v>14884.760791535116</v>
      </c>
      <c r="N14" s="471">
        <f t="shared" ca="1" si="1"/>
        <v>10247.156593998065</v>
      </c>
      <c r="O14" s="471">
        <f t="shared" si="1"/>
        <v>85.983333333333334</v>
      </c>
      <c r="P14" s="472">
        <f t="shared" si="1"/>
        <v>419.46666666666664</v>
      </c>
      <c r="Q14" s="472">
        <f t="shared" ca="1" si="1"/>
        <v>610024.4478812695</v>
      </c>
    </row>
    <row r="16" spans="1:17">
      <c r="A16" s="474" t="s">
        <v>569</v>
      </c>
      <c r="B16" s="828">
        <f ca="1">huishoudens!B10</f>
        <v>0.21431461104031396</v>
      </c>
      <c r="C16" s="828">
        <f ca="1">huishoudens!C10</f>
        <v>0.23752172384348783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5269.2006521555286</v>
      </c>
      <c r="C21" s="461">
        <f t="shared" ref="C21:C30" ca="1" si="3">C4*$C$16</f>
        <v>0</v>
      </c>
      <c r="D21" s="461">
        <f t="shared" ref="D21:D30" si="4">D4*$D$16</f>
        <v>3096.1165268445866</v>
      </c>
      <c r="E21" s="461">
        <f t="shared" ref="E21:E30" si="5">E4*$E$16</f>
        <v>477.17931822100172</v>
      </c>
      <c r="F21" s="461">
        <f t="shared" ref="F21:F30" si="6">F4*$F$16</f>
        <v>11761.111863120881</v>
      </c>
      <c r="G21" s="461">
        <f t="shared" ref="G21:G30" si="7">G4*$G$16</f>
        <v>0</v>
      </c>
      <c r="H21" s="461">
        <f t="shared" ref="H21:H30" si="8">H4*$H$16</f>
        <v>0</v>
      </c>
      <c r="I21" s="461">
        <f t="shared" ref="I21:I30" si="9">I4*$I$16</f>
        <v>0</v>
      </c>
      <c r="J21" s="461">
        <f t="shared" ref="J21:J30" si="10">J4*$J$16</f>
        <v>540.23861150783762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21143.846971849835</v>
      </c>
    </row>
    <row r="22" spans="1:17">
      <c r="A22" s="460" t="s">
        <v>156</v>
      </c>
      <c r="B22" s="461">
        <f t="shared" ca="1" si="2"/>
        <v>5856.5945804715557</v>
      </c>
      <c r="C22" s="461">
        <f t="shared" ca="1" si="3"/>
        <v>299.21375015247946</v>
      </c>
      <c r="D22" s="461">
        <f t="shared" ca="1" si="4"/>
        <v>2093.5412665581703</v>
      </c>
      <c r="E22" s="461">
        <f t="shared" si="5"/>
        <v>119.64110506975359</v>
      </c>
      <c r="F22" s="461">
        <f t="shared" ca="1" si="6"/>
        <v>1288.653935188735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9657.6446374406933</v>
      </c>
    </row>
    <row r="23" spans="1:17">
      <c r="A23" s="460" t="s">
        <v>195</v>
      </c>
      <c r="B23" s="461">
        <f t="shared" ca="1" si="2"/>
        <v>216.9378218794474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216.9378218794474</v>
      </c>
    </row>
    <row r="24" spans="1:17">
      <c r="A24" s="460" t="s">
        <v>112</v>
      </c>
      <c r="B24" s="461">
        <f t="shared" ca="1" si="2"/>
        <v>369.2336023758146</v>
      </c>
      <c r="C24" s="461">
        <f t="shared" ca="1" si="3"/>
        <v>0</v>
      </c>
      <c r="D24" s="461">
        <f t="shared" si="4"/>
        <v>292.14364717102097</v>
      </c>
      <c r="E24" s="461">
        <f t="shared" si="5"/>
        <v>4.0955657836645774</v>
      </c>
      <c r="F24" s="461">
        <f t="shared" si="6"/>
        <v>2362.648838858458</v>
      </c>
      <c r="G24" s="461">
        <f t="shared" si="7"/>
        <v>0</v>
      </c>
      <c r="H24" s="461">
        <f t="shared" si="8"/>
        <v>0</v>
      </c>
      <c r="I24" s="461">
        <f t="shared" si="9"/>
        <v>0</v>
      </c>
      <c r="J24" s="461">
        <f t="shared" si="10"/>
        <v>54.468792353363007</v>
      </c>
      <c r="K24" s="461">
        <f t="shared" si="11"/>
        <v>0</v>
      </c>
      <c r="L24" s="461">
        <f t="shared" si="12"/>
        <v>0</v>
      </c>
      <c r="M24" s="461">
        <f t="shared" si="13"/>
        <v>0</v>
      </c>
      <c r="N24" s="461">
        <f t="shared" si="14"/>
        <v>0</v>
      </c>
      <c r="O24" s="461">
        <f t="shared" si="15"/>
        <v>0</v>
      </c>
      <c r="P24" s="462">
        <f t="shared" si="16"/>
        <v>0</v>
      </c>
      <c r="Q24" s="460">
        <f t="shared" ca="1" si="17"/>
        <v>3082.5904465423209</v>
      </c>
    </row>
    <row r="25" spans="1:17">
      <c r="A25" s="460" t="s">
        <v>656</v>
      </c>
      <c r="B25" s="461">
        <f t="shared" ca="1" si="2"/>
        <v>10441.768100495749</v>
      </c>
      <c r="C25" s="461">
        <f t="shared" ca="1" si="3"/>
        <v>0</v>
      </c>
      <c r="D25" s="461">
        <f t="shared" si="4"/>
        <v>7062.8105592641859</v>
      </c>
      <c r="E25" s="461">
        <f t="shared" si="5"/>
        <v>120.78141391036327</v>
      </c>
      <c r="F25" s="461">
        <f t="shared" si="6"/>
        <v>3056.2458394054738</v>
      </c>
      <c r="G25" s="461">
        <f t="shared" si="7"/>
        <v>0</v>
      </c>
      <c r="H25" s="461">
        <f t="shared" si="8"/>
        <v>0</v>
      </c>
      <c r="I25" s="461">
        <f t="shared" si="9"/>
        <v>0</v>
      </c>
      <c r="J25" s="461">
        <f t="shared" si="10"/>
        <v>100.34851235453394</v>
      </c>
      <c r="K25" s="461">
        <f t="shared" si="11"/>
        <v>0</v>
      </c>
      <c r="L25" s="461">
        <f t="shared" si="12"/>
        <v>0</v>
      </c>
      <c r="M25" s="461">
        <f t="shared" si="13"/>
        <v>0</v>
      </c>
      <c r="N25" s="461">
        <f t="shared" si="14"/>
        <v>0</v>
      </c>
      <c r="O25" s="461">
        <f t="shared" si="15"/>
        <v>0</v>
      </c>
      <c r="P25" s="462">
        <f t="shared" si="16"/>
        <v>0</v>
      </c>
      <c r="Q25" s="460">
        <f t="shared" ca="1" si="17"/>
        <v>20781.954425430307</v>
      </c>
    </row>
    <row r="26" spans="1:17" s="466" customFormat="1">
      <c r="A26" s="464" t="s">
        <v>574</v>
      </c>
      <c r="B26" s="822">
        <f t="shared" ca="1" si="2"/>
        <v>0.49147654595002443</v>
      </c>
      <c r="C26" s="465">
        <f t="shared" ca="1" si="3"/>
        <v>0</v>
      </c>
      <c r="D26" s="465">
        <f t="shared" si="4"/>
        <v>2.1581822590333966</v>
      </c>
      <c r="E26" s="465">
        <f t="shared" si="5"/>
        <v>286.87526902824362</v>
      </c>
      <c r="F26" s="465">
        <f t="shared" si="6"/>
        <v>0</v>
      </c>
      <c r="G26" s="465">
        <f t="shared" si="7"/>
        <v>81211.703496779868</v>
      </c>
      <c r="H26" s="465">
        <f t="shared" si="8"/>
        <v>9217.3547985103341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90718.583223123438</v>
      </c>
    </row>
    <row r="27" spans="1:17">
      <c r="A27" s="460" t="s">
        <v>564</v>
      </c>
      <c r="B27" s="461">
        <f t="shared" ca="1" si="2"/>
        <v>0</v>
      </c>
      <c r="C27" s="461">
        <f t="shared" ca="1" si="3"/>
        <v>0</v>
      </c>
      <c r="D27" s="461">
        <f t="shared" si="4"/>
        <v>0</v>
      </c>
      <c r="E27" s="461">
        <f t="shared" si="5"/>
        <v>0</v>
      </c>
      <c r="F27" s="461">
        <f t="shared" si="6"/>
        <v>0</v>
      </c>
      <c r="G27" s="461">
        <f t="shared" si="7"/>
        <v>235.89546903537459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235.89546903537459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22154.226233924044</v>
      </c>
      <c r="C31" s="471">
        <f t="shared" ca="1" si="18"/>
        <v>299.21375015247946</v>
      </c>
      <c r="D31" s="471">
        <f t="shared" ca="1" si="18"/>
        <v>12546.770182097</v>
      </c>
      <c r="E31" s="471">
        <f t="shared" si="18"/>
        <v>1008.5726720130269</v>
      </c>
      <c r="F31" s="471">
        <f t="shared" ca="1" si="18"/>
        <v>18468.660476573546</v>
      </c>
      <c r="G31" s="471">
        <f t="shared" si="18"/>
        <v>81447.598965815239</v>
      </c>
      <c r="H31" s="471">
        <f t="shared" si="18"/>
        <v>9217.3547985103341</v>
      </c>
      <c r="I31" s="471">
        <f t="shared" si="18"/>
        <v>0</v>
      </c>
      <c r="J31" s="471">
        <f t="shared" si="18"/>
        <v>695.05591621573456</v>
      </c>
      <c r="K31" s="471">
        <f t="shared" si="18"/>
        <v>0</v>
      </c>
      <c r="L31" s="471">
        <f t="shared" ca="1" si="18"/>
        <v>0</v>
      </c>
      <c r="M31" s="471">
        <f t="shared" si="18"/>
        <v>0</v>
      </c>
      <c r="N31" s="471">
        <f t="shared" ca="1" si="18"/>
        <v>0</v>
      </c>
      <c r="O31" s="471">
        <f t="shared" si="18"/>
        <v>0</v>
      </c>
      <c r="P31" s="472">
        <f t="shared" si="18"/>
        <v>0</v>
      </c>
      <c r="Q31" s="472">
        <f t="shared" ca="1" si="18"/>
        <v>145837.4529953014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0.21431461104031396</v>
      </c>
      <c r="C17" s="511">
        <f ca="1">'EF ele_warmte'!B22</f>
        <v>0.23752172384348783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0.21431461104031396</v>
      </c>
      <c r="C17" s="511">
        <f ca="1">'EF ele_warmte'!B22</f>
        <v>0.23752172384348783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0.21431461104031396</v>
      </c>
      <c r="C29" s="512">
        <f ca="1">'EF ele_warmte'!B22</f>
        <v>0.23752172384348783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4422</v>
      </c>
      <c r="C9" s="336">
        <v>4766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2055</v>
      </c>
    </row>
    <row r="15" spans="1:6">
      <c r="A15" s="1194" t="s">
        <v>185</v>
      </c>
      <c r="B15" s="333">
        <v>40</v>
      </c>
    </row>
    <row r="16" spans="1:6">
      <c r="A16" s="1194" t="s">
        <v>6</v>
      </c>
      <c r="B16" s="333">
        <v>1379</v>
      </c>
    </row>
    <row r="17" spans="1:6">
      <c r="A17" s="1194" t="s">
        <v>7</v>
      </c>
      <c r="B17" s="333">
        <v>467</v>
      </c>
    </row>
    <row r="18" spans="1:6">
      <c r="A18" s="1194" t="s">
        <v>8</v>
      </c>
      <c r="B18" s="333">
        <v>1159</v>
      </c>
    </row>
    <row r="19" spans="1:6">
      <c r="A19" s="1194" t="s">
        <v>9</v>
      </c>
      <c r="B19" s="333">
        <v>1305</v>
      </c>
    </row>
    <row r="20" spans="1:6">
      <c r="A20" s="1194" t="s">
        <v>10</v>
      </c>
      <c r="B20" s="333">
        <v>720</v>
      </c>
    </row>
    <row r="21" spans="1:6">
      <c r="A21" s="1194" t="s">
        <v>11</v>
      </c>
      <c r="B21" s="333">
        <v>11007</v>
      </c>
    </row>
    <row r="22" spans="1:6">
      <c r="A22" s="1194" t="s">
        <v>12</v>
      </c>
      <c r="B22" s="333">
        <v>20255</v>
      </c>
    </row>
    <row r="23" spans="1:6">
      <c r="A23" s="1194" t="s">
        <v>13</v>
      </c>
      <c r="B23" s="333">
        <v>182</v>
      </c>
    </row>
    <row r="24" spans="1:6">
      <c r="A24" s="1194" t="s">
        <v>14</v>
      </c>
      <c r="B24" s="333">
        <v>15</v>
      </c>
    </row>
    <row r="25" spans="1:6">
      <c r="A25" s="1194" t="s">
        <v>15</v>
      </c>
      <c r="B25" s="333">
        <v>1337</v>
      </c>
    </row>
    <row r="26" spans="1:6">
      <c r="A26" s="1194" t="s">
        <v>16</v>
      </c>
      <c r="B26" s="333">
        <v>93</v>
      </c>
    </row>
    <row r="27" spans="1:6">
      <c r="A27" s="1194" t="s">
        <v>17</v>
      </c>
      <c r="B27" s="333">
        <v>3</v>
      </c>
    </row>
    <row r="28" spans="1:6">
      <c r="A28" s="1194" t="s">
        <v>18</v>
      </c>
      <c r="B28" s="333">
        <v>100556</v>
      </c>
    </row>
    <row r="29" spans="1:6">
      <c r="A29" s="1194" t="s">
        <v>888</v>
      </c>
      <c r="B29" s="333">
        <v>126</v>
      </c>
    </row>
    <row r="30" spans="1:6">
      <c r="A30" s="1190" t="s">
        <v>889</v>
      </c>
      <c r="B30" s="1190">
        <v>37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29302</v>
      </c>
    </row>
    <row r="39" spans="1:6">
      <c r="A39" s="1194" t="s">
        <v>30</v>
      </c>
      <c r="B39" s="1194" t="s">
        <v>31</v>
      </c>
      <c r="C39" s="333">
        <v>1141</v>
      </c>
      <c r="D39" s="333">
        <v>16992582.637288898</v>
      </c>
      <c r="E39" s="333">
        <v>4183</v>
      </c>
      <c r="F39" s="333">
        <v>23388208.411574699</v>
      </c>
    </row>
    <row r="40" spans="1:6">
      <c r="A40" s="1194" t="s">
        <v>30</v>
      </c>
      <c r="B40" s="1194" t="s">
        <v>29</v>
      </c>
      <c r="C40" s="333">
        <v>0</v>
      </c>
      <c r="D40" s="333">
        <v>0</v>
      </c>
      <c r="E40" s="333">
        <v>0</v>
      </c>
      <c r="F40" s="333">
        <v>0</v>
      </c>
    </row>
    <row r="41" spans="1:6">
      <c r="A41" s="1194" t="s">
        <v>32</v>
      </c>
      <c r="B41" s="1194" t="s">
        <v>33</v>
      </c>
      <c r="C41" s="333">
        <v>5</v>
      </c>
      <c r="D41" s="333">
        <v>119633.905270342</v>
      </c>
      <c r="E41" s="333">
        <v>117</v>
      </c>
      <c r="F41" s="333">
        <v>2977497.3385220598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51690.545521579203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3181941.16292034</v>
      </c>
    </row>
    <row r="48" spans="1:6">
      <c r="A48" s="1194" t="s">
        <v>32</v>
      </c>
      <c r="B48" s="1194" t="s">
        <v>29</v>
      </c>
      <c r="C48" s="333">
        <v>27</v>
      </c>
      <c r="D48" s="333">
        <v>38643568.654850103</v>
      </c>
      <c r="E48" s="333">
        <v>54</v>
      </c>
      <c r="F48" s="333">
        <v>40941277.441788502</v>
      </c>
    </row>
    <row r="49" spans="1:6">
      <c r="A49" s="1194" t="s">
        <v>32</v>
      </c>
      <c r="B49" s="1194" t="s">
        <v>40</v>
      </c>
      <c r="C49" s="333">
        <v>0</v>
      </c>
      <c r="D49" s="333">
        <v>0</v>
      </c>
      <c r="E49" s="333">
        <v>0</v>
      </c>
      <c r="F49" s="333">
        <v>0</v>
      </c>
    </row>
    <row r="50" spans="1:6">
      <c r="A50" s="1194" t="s">
        <v>32</v>
      </c>
      <c r="B50" s="1194" t="s">
        <v>41</v>
      </c>
      <c r="C50" s="333">
        <v>0</v>
      </c>
      <c r="D50" s="333">
        <v>0</v>
      </c>
      <c r="E50" s="333">
        <v>10</v>
      </c>
      <c r="F50" s="333">
        <v>1569274.45409087</v>
      </c>
    </row>
    <row r="51" spans="1:6">
      <c r="A51" s="1194" t="s">
        <v>42</v>
      </c>
      <c r="B51" s="1194" t="s">
        <v>43</v>
      </c>
      <c r="C51" s="333">
        <v>5</v>
      </c>
      <c r="D51" s="333">
        <v>65072.367026321903</v>
      </c>
      <c r="E51" s="333">
        <v>97</v>
      </c>
      <c r="F51" s="333">
        <v>1564123.2437851001</v>
      </c>
    </row>
    <row r="52" spans="1:6">
      <c r="A52" s="1194" t="s">
        <v>42</v>
      </c>
      <c r="B52" s="1194" t="s">
        <v>29</v>
      </c>
      <c r="C52" s="333">
        <v>2</v>
      </c>
      <c r="D52" s="333">
        <v>288336.45357987902</v>
      </c>
      <c r="E52" s="333">
        <v>11</v>
      </c>
      <c r="F52" s="333">
        <v>158734.570637825</v>
      </c>
    </row>
    <row r="53" spans="1:6">
      <c r="A53" s="1194" t="s">
        <v>44</v>
      </c>
      <c r="B53" s="1194" t="s">
        <v>45</v>
      </c>
      <c r="C53" s="333">
        <v>61</v>
      </c>
      <c r="D53" s="333">
        <v>1249978.8501969699</v>
      </c>
      <c r="E53" s="333">
        <v>187</v>
      </c>
      <c r="F53" s="333">
        <v>1293130.4361010001</v>
      </c>
    </row>
    <row r="54" spans="1:6">
      <c r="A54" s="1194" t="s">
        <v>46</v>
      </c>
      <c r="B54" s="1194" t="s">
        <v>47</v>
      </c>
      <c r="C54" s="333">
        <v>0</v>
      </c>
      <c r="D54" s="333">
        <v>0</v>
      </c>
      <c r="E54" s="333">
        <v>1</v>
      </c>
      <c r="F54" s="333">
        <v>1012240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334433.87977337302</v>
      </c>
      <c r="E57" s="333">
        <v>48</v>
      </c>
      <c r="F57" s="333">
        <v>1061385.9800748299</v>
      </c>
    </row>
    <row r="58" spans="1:6">
      <c r="A58" s="1194" t="s">
        <v>49</v>
      </c>
      <c r="B58" s="1194" t="s">
        <v>51</v>
      </c>
      <c r="C58" s="333">
        <v>0</v>
      </c>
      <c r="D58" s="333">
        <v>0</v>
      </c>
      <c r="E58" s="333">
        <v>19</v>
      </c>
      <c r="F58" s="333">
        <v>1428661.8789917501</v>
      </c>
    </row>
    <row r="59" spans="1:6">
      <c r="A59" s="1194" t="s">
        <v>49</v>
      </c>
      <c r="B59" s="1194" t="s">
        <v>52</v>
      </c>
      <c r="C59" s="333">
        <v>22</v>
      </c>
      <c r="D59" s="333">
        <v>3570078.3991942499</v>
      </c>
      <c r="E59" s="333">
        <v>186</v>
      </c>
      <c r="F59" s="333">
        <v>7465664.3507711096</v>
      </c>
    </row>
    <row r="60" spans="1:6">
      <c r="A60" s="1194" t="s">
        <v>49</v>
      </c>
      <c r="B60" s="1194" t="s">
        <v>53</v>
      </c>
      <c r="C60" s="333">
        <v>17</v>
      </c>
      <c r="D60" s="333">
        <v>668432.06517277099</v>
      </c>
      <c r="E60" s="333">
        <v>44</v>
      </c>
      <c r="F60" s="333">
        <v>1938545.4013909299</v>
      </c>
    </row>
    <row r="61" spans="1:6">
      <c r="A61" s="1194" t="s">
        <v>49</v>
      </c>
      <c r="B61" s="1194" t="s">
        <v>54</v>
      </c>
      <c r="C61" s="333">
        <v>48</v>
      </c>
      <c r="D61" s="333">
        <v>2598331.2754132301</v>
      </c>
      <c r="E61" s="333">
        <v>246</v>
      </c>
      <c r="F61" s="333">
        <v>4542565.7288543703</v>
      </c>
    </row>
    <row r="62" spans="1:6">
      <c r="A62" s="1194" t="s">
        <v>49</v>
      </c>
      <c r="B62" s="1194" t="s">
        <v>55</v>
      </c>
      <c r="C62" s="333">
        <v>3</v>
      </c>
      <c r="D62" s="333">
        <v>253420.550142113</v>
      </c>
      <c r="E62" s="333">
        <v>7</v>
      </c>
      <c r="F62" s="333">
        <v>74317.270292463203</v>
      </c>
    </row>
    <row r="63" spans="1:6">
      <c r="A63" s="1194" t="s">
        <v>49</v>
      </c>
      <c r="B63" s="1194" t="s">
        <v>29</v>
      </c>
      <c r="C63" s="333">
        <v>69</v>
      </c>
      <c r="D63" s="333">
        <v>6846124.1870058496</v>
      </c>
      <c r="E63" s="333">
        <v>103</v>
      </c>
      <c r="F63" s="333">
        <v>9942573.9988807794</v>
      </c>
    </row>
    <row r="64" spans="1:6">
      <c r="A64" s="1194" t="s">
        <v>56</v>
      </c>
      <c r="B64" s="1194" t="s">
        <v>57</v>
      </c>
      <c r="C64" s="333">
        <v>0</v>
      </c>
      <c r="D64" s="333">
        <v>0</v>
      </c>
      <c r="E64" s="333">
        <v>0</v>
      </c>
      <c r="F64" s="333">
        <v>0</v>
      </c>
    </row>
    <row r="65" spans="1:6">
      <c r="A65" s="1194" t="s">
        <v>56</v>
      </c>
      <c r="B65" s="1194" t="s">
        <v>29</v>
      </c>
      <c r="C65" s="333">
        <v>3</v>
      </c>
      <c r="D65" s="333">
        <v>151788.80643623401</v>
      </c>
      <c r="E65" s="333">
        <v>1</v>
      </c>
      <c r="F65" s="333">
        <v>21482.055416766001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1420266.5331067301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90530105</v>
      </c>
      <c r="E73" s="333">
        <v>101124817.41793402</v>
      </c>
      <c r="F73" s="333">
        <v>93096809</v>
      </c>
    </row>
    <row r="74" spans="1:6">
      <c r="A74" s="1194" t="s">
        <v>64</v>
      </c>
      <c r="B74" s="1194" t="s">
        <v>775</v>
      </c>
      <c r="C74" s="1205" t="s">
        <v>776</v>
      </c>
      <c r="D74" s="333">
        <v>11690707.479071036</v>
      </c>
      <c r="E74" s="333">
        <v>13110185.119429316</v>
      </c>
      <c r="F74" s="333">
        <v>12482230.602322385</v>
      </c>
    </row>
    <row r="75" spans="1:6">
      <c r="A75" s="1194" t="s">
        <v>65</v>
      </c>
      <c r="B75" s="1194" t="s">
        <v>773</v>
      </c>
      <c r="C75" s="1205" t="s">
        <v>777</v>
      </c>
      <c r="D75" s="333">
        <v>21233550</v>
      </c>
      <c r="E75" s="333">
        <v>24158518.749572985</v>
      </c>
      <c r="F75" s="333">
        <v>22484775</v>
      </c>
    </row>
    <row r="76" spans="1:6">
      <c r="A76" s="1194" t="s">
        <v>65</v>
      </c>
      <c r="B76" s="1194" t="s">
        <v>775</v>
      </c>
      <c r="C76" s="1205" t="s">
        <v>778</v>
      </c>
      <c r="D76" s="333">
        <v>1994381.4790710369</v>
      </c>
      <c r="E76" s="333">
        <v>2204153.5903103026</v>
      </c>
      <c r="F76" s="333">
        <v>2296302.6023223852</v>
      </c>
    </row>
    <row r="77" spans="1:6">
      <c r="A77" s="1194" t="s">
        <v>66</v>
      </c>
      <c r="B77" s="1194" t="s">
        <v>773</v>
      </c>
      <c r="C77" s="1205" t="s">
        <v>779</v>
      </c>
      <c r="D77" s="333">
        <v>175465783</v>
      </c>
      <c r="E77" s="333">
        <v>211825086.31064036</v>
      </c>
      <c r="F77" s="333">
        <v>186600692</v>
      </c>
    </row>
    <row r="78" spans="1:6">
      <c r="A78" s="1190" t="s">
        <v>66</v>
      </c>
      <c r="B78" s="1190" t="s">
        <v>775</v>
      </c>
      <c r="C78" s="1190" t="s">
        <v>780</v>
      </c>
      <c r="D78" s="1190">
        <v>47900145</v>
      </c>
      <c r="E78" s="1190">
        <v>53541250.376004234</v>
      </c>
      <c r="F78" s="336">
        <v>49661893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242233.04185792635</v>
      </c>
      <c r="C83" s="333">
        <v>221310.82759064273</v>
      </c>
      <c r="D83" s="333">
        <v>218122.79535522946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1198.0791335351332</v>
      </c>
    </row>
    <row r="92" spans="1:6">
      <c r="A92" s="1190" t="s">
        <v>69</v>
      </c>
      <c r="B92" s="336">
        <v>1994.2950334743437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273</v>
      </c>
    </row>
    <row r="98" spans="1:6">
      <c r="A98" s="1194" t="s">
        <v>72</v>
      </c>
      <c r="B98" s="333">
        <v>0</v>
      </c>
    </row>
    <row r="99" spans="1:6">
      <c r="A99" s="1194" t="s">
        <v>73</v>
      </c>
      <c r="B99" s="333">
        <v>63</v>
      </c>
    </row>
    <row r="100" spans="1:6">
      <c r="A100" s="1194" t="s">
        <v>74</v>
      </c>
      <c r="B100" s="333">
        <v>633</v>
      </c>
    </row>
    <row r="101" spans="1:6">
      <c r="A101" s="1194" t="s">
        <v>75</v>
      </c>
      <c r="B101" s="333">
        <v>90</v>
      </c>
    </row>
    <row r="102" spans="1:6">
      <c r="A102" s="1194" t="s">
        <v>76</v>
      </c>
      <c r="B102" s="333">
        <v>66</v>
      </c>
    </row>
    <row r="103" spans="1:6">
      <c r="A103" s="1194" t="s">
        <v>77</v>
      </c>
      <c r="B103" s="333">
        <v>140</v>
      </c>
    </row>
    <row r="104" spans="1:6">
      <c r="A104" s="1194" t="s">
        <v>78</v>
      </c>
      <c r="B104" s="333">
        <v>2713</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13</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51</v>
      </c>
    </row>
    <row r="130" spans="1:6">
      <c r="A130" s="1194" t="s">
        <v>296</v>
      </c>
      <c r="B130" s="333">
        <v>1</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103372.44915959881</v>
      </c>
      <c r="C3" s="43" t="s">
        <v>171</v>
      </c>
      <c r="D3" s="43"/>
      <c r="E3" s="156"/>
      <c r="F3" s="43"/>
      <c r="G3" s="43"/>
      <c r="H3" s="43"/>
      <c r="I3" s="43"/>
      <c r="J3" s="43"/>
      <c r="K3" s="96"/>
    </row>
    <row r="4" spans="1:11">
      <c r="A4" s="364" t="s">
        <v>172</v>
      </c>
      <c r="B4" s="49">
        <f>IF(ISERROR('SEAP template'!B69),0,'SEAP template'!B69)</f>
        <v>4065.7491670094769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207.44553556180622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0.21431461104031396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299.21375015247946</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1259.7321428571429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0.23752172384348783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1012.24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0.21431461104031396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216.9378218794474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B46*B57</f>
        <v>2102.1115340132233</v>
      </c>
      <c r="F5" s="17">
        <f>B51*B62</f>
        <v>44049.108101576334</v>
      </c>
      <c r="G5" s="18"/>
      <c r="H5" s="17"/>
      <c r="I5" s="17"/>
      <c r="J5" s="17">
        <f>B50*B61+C50*C61</f>
        <v>1526.0977726210103</v>
      </c>
      <c r="K5" s="17"/>
      <c r="L5" s="17"/>
      <c r="M5" s="17"/>
      <c r="N5" s="17">
        <f>B48*B59+C48*C59</f>
        <v>8688.7562925202001</v>
      </c>
      <c r="O5" s="17">
        <f>B69*B70*B71</f>
        <v>84.42</v>
      </c>
      <c r="P5" s="17">
        <f>B77*B78*B79/1000-B77*B78*B79/1000/B80</f>
        <v>400.4</v>
      </c>
    </row>
    <row r="6" spans="1:16">
      <c r="A6" s="16" t="s">
        <v>633</v>
      </c>
      <c r="B6" s="830">
        <f>kWh_PV_kleiner_dan_10kW</f>
        <v>1198.0791335351332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24586.28754510983</v>
      </c>
      <c r="C8" s="21">
        <f>C5</f>
        <v>0</v>
      </c>
      <c r="D8" s="21">
        <f>D5</f>
        <v>15327.309538834586</v>
      </c>
      <c r="E8" s="21">
        <f>E5</f>
        <v>2102.1115340132233</v>
      </c>
      <c r="F8" s="21">
        <f>F5</f>
        <v>44049.108101576334</v>
      </c>
      <c r="G8" s="21"/>
      <c r="H8" s="21"/>
      <c r="I8" s="21"/>
      <c r="J8" s="21">
        <f>J5</f>
        <v>1526.0977726210103</v>
      </c>
      <c r="K8" s="21"/>
      <c r="L8" s="21">
        <f>L5</f>
        <v>0</v>
      </c>
      <c r="M8" s="21">
        <f>M5</f>
        <v>0</v>
      </c>
      <c r="N8" s="21">
        <f>N5</f>
        <v>8688.7562925202001</v>
      </c>
      <c r="O8" s="21">
        <f>O5</f>
        <v>84.42</v>
      </c>
      <c r="P8" s="21">
        <f>P5</f>
        <v>400.4</v>
      </c>
    </row>
    <row r="9" spans="1:16">
      <c r="B9" s="19"/>
      <c r="C9" s="19"/>
      <c r="D9" s="260"/>
      <c r="E9" s="19"/>
      <c r="F9" s="19"/>
      <c r="G9" s="19"/>
      <c r="H9" s="19"/>
      <c r="I9" s="19"/>
      <c r="J9" s="19"/>
      <c r="K9" s="19"/>
      <c r="L9" s="19"/>
      <c r="M9" s="19"/>
      <c r="N9" s="19"/>
      <c r="O9" s="19"/>
      <c r="P9" s="19"/>
    </row>
    <row r="10" spans="1:16">
      <c r="A10" s="24" t="s">
        <v>215</v>
      </c>
      <c r="B10" s="25">
        <f ca="1">'EF ele_warmte'!B12</f>
        <v>0.21431461104031396</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5269.2006521555286</v>
      </c>
      <c r="C12" s="23">
        <f ca="1">C10*C8</f>
        <v>0</v>
      </c>
      <c r="D12" s="23">
        <f>D8*D10</f>
        <v>3096.1165268445866</v>
      </c>
      <c r="E12" s="23">
        <f>E10*E8</f>
        <v>477.17931822100172</v>
      </c>
      <c r="F12" s="23">
        <f>F10*F8</f>
        <v>11761.111863120881</v>
      </c>
      <c r="G12" s="23"/>
      <c r="H12" s="23"/>
      <c r="I12" s="23"/>
      <c r="J12" s="23">
        <f>J10*J8</f>
        <v>540.23861150783762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273</v>
      </c>
      <c r="C18" s="167" t="s">
        <v>111</v>
      </c>
      <c r="D18" s="229"/>
      <c r="E18" s="15"/>
    </row>
    <row r="19" spans="1:7">
      <c r="A19" s="172" t="s">
        <v>72</v>
      </c>
      <c r="B19" s="37">
        <f>aantalw2001_ander</f>
        <v>0</v>
      </c>
      <c r="C19" s="167" t="s">
        <v>111</v>
      </c>
      <c r="D19" s="230"/>
      <c r="E19" s="15"/>
    </row>
    <row r="20" spans="1:7">
      <c r="A20" s="172" t="s">
        <v>73</v>
      </c>
      <c r="B20" s="37">
        <f>aantalw2001_propaan</f>
        <v>63</v>
      </c>
      <c r="C20" s="168">
        <f>IF(ISERROR(B20/SUM($B$20,$B$21,$B$22)*100),0,B20/SUM($B$20,$B$21,$B$22)*100)</f>
        <v>8.015267175572518</v>
      </c>
      <c r="D20" s="230"/>
      <c r="E20" s="15"/>
    </row>
    <row r="21" spans="1:7">
      <c r="A21" s="172" t="s">
        <v>74</v>
      </c>
      <c r="B21" s="37">
        <f>aantalw2001_elektriciteit</f>
        <v>633</v>
      </c>
      <c r="C21" s="168">
        <f>IF(ISERROR(B21/SUM($B$20,$B$21,$B$22)*100),0,B21/SUM($B$20,$B$21,$B$22)*100)</f>
        <v>80.534351145038158</v>
      </c>
      <c r="D21" s="230"/>
      <c r="E21" s="15"/>
    </row>
    <row r="22" spans="1:7">
      <c r="A22" s="172" t="s">
        <v>75</v>
      </c>
      <c r="B22" s="37">
        <f>aantalw2001_hout</f>
        <v>90</v>
      </c>
      <c r="C22" s="168">
        <f>IF(ISERROR(B22/SUM($B$20,$B$21,$B$22)*100),0,B22/SUM($B$20,$B$21,$B$22)*100)</f>
        <v>11.450381679389313</v>
      </c>
      <c r="D22" s="230"/>
      <c r="E22" s="15"/>
    </row>
    <row r="23" spans="1:7">
      <c r="A23" s="172" t="s">
        <v>76</v>
      </c>
      <c r="B23" s="37">
        <f>aantalw2001_niet_gespec</f>
        <v>66</v>
      </c>
      <c r="C23" s="167" t="s">
        <v>111</v>
      </c>
      <c r="D23" s="229"/>
      <c r="E23" s="15"/>
    </row>
    <row r="24" spans="1:7">
      <c r="A24" s="172" t="s">
        <v>77</v>
      </c>
      <c r="B24" s="37">
        <f>aantalw2001_steenkool</f>
        <v>140</v>
      </c>
      <c r="C24" s="167" t="s">
        <v>111</v>
      </c>
      <c r="D24" s="230"/>
      <c r="E24" s="15"/>
    </row>
    <row r="25" spans="1:7">
      <c r="A25" s="172" t="s">
        <v>78</v>
      </c>
      <c r="B25" s="37">
        <f>aantalw2001_stookolie</f>
        <v>2713</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4422</v>
      </c>
      <c r="C28" s="36"/>
      <c r="D28" s="229"/>
    </row>
    <row r="29" spans="1:7" s="15" customFormat="1">
      <c r="A29" s="231" t="s">
        <v>714</v>
      </c>
      <c r="B29" s="37">
        <f>SUM(HH_hh_gas_aantal,HH_rest_gas_aantal)</f>
        <v>1141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1141</v>
      </c>
      <c r="C32" s="168">
        <f>IF(ISERROR(B32/SUM($B$32,$B$34,$B$35,$B$36,$B$38,$B$39)*100),0,B32/SUM($B$32,$B$34,$B$35,$B$36,$B$38,$B$39)*100)</f>
        <v>25.925925925925931</v>
      </c>
      <c r="D32" s="234"/>
      <c r="G32" s="15"/>
    </row>
    <row r="33" spans="1:7">
      <c r="A33" s="172" t="s">
        <v>72</v>
      </c>
      <c r="B33" s="34" t="s">
        <v>111</v>
      </c>
      <c r="C33" s="168"/>
      <c r="D33" s="234"/>
      <c r="G33" s="15"/>
    </row>
    <row r="34" spans="1:7">
      <c r="A34" s="172" t="s">
        <v>73</v>
      </c>
      <c r="B34" s="33">
        <f>IF((($B$28-$B$32-$B$39-$B$77-$B$38)*C20/100)&lt;0,0,($B$28-$B$32-$B$39-$B$77-$B$38)*C20/100)</f>
        <v>102.19465648854961</v>
      </c>
      <c r="C34" s="168">
        <f>IF(ISERROR(B34/SUM($B$32,$B$34,$B$35,$B$36,$B$38,$B$39)*100),0,B34/SUM($B$32,$B$34,$B$35,$B$36,$B$38,$B$39)*100)</f>
        <v>2.3220780842660673</v>
      </c>
      <c r="D34" s="234"/>
      <c r="G34" s="15"/>
    </row>
    <row r="35" spans="1:7">
      <c r="A35" s="172" t="s">
        <v>74</v>
      </c>
      <c r="B35" s="33">
        <f>IF((($B$28-$B$32-$B$39-$B$77-$B$38)*C21/100)&lt;0,0,($B$28-$B$32-$B$39-$B$77-$B$38)*C21/100)</f>
        <v>1026.8129770992364</v>
      </c>
      <c r="C35" s="168">
        <f>IF(ISERROR(B35/SUM($B$32,$B$34,$B$35,$B$36,$B$38,$B$39)*100),0,B35/SUM($B$32,$B$34,$B$35,$B$36,$B$38,$B$39)*100)</f>
        <v>23.331355989530483</v>
      </c>
      <c r="D35" s="234"/>
      <c r="G35" s="15"/>
    </row>
    <row r="36" spans="1:7">
      <c r="A36" s="172" t="s">
        <v>75</v>
      </c>
      <c r="B36" s="33">
        <f>IF((($B$28-$B$32-$B$39-$B$77-$B$38)*C22/100)&lt;0,0,($B$28-$B$32-$B$39-$B$77-$B$38)*C22/100)</f>
        <v>145.99236641221376</v>
      </c>
      <c r="C36" s="168">
        <f>IF(ISERROR(B36/SUM($B$32,$B$34,$B$35,$B$36,$B$38,$B$39)*100),0,B36/SUM($B$32,$B$34,$B$35,$B$36,$B$38,$B$39)*100)</f>
        <v>3.3172544060943823</v>
      </c>
      <c r="D36" s="234"/>
      <c r="G36" s="15"/>
    </row>
    <row r="37" spans="1:7">
      <c r="A37" s="172" t="s">
        <v>76</v>
      </c>
      <c r="B37" s="34" t="s">
        <v>111</v>
      </c>
      <c r="C37" s="168"/>
      <c r="D37" s="174"/>
      <c r="G37" s="15"/>
    </row>
    <row r="38" spans="1:7">
      <c r="A38" s="172" t="s">
        <v>77</v>
      </c>
      <c r="B38" s="33">
        <f>IF((B24-(B29-B18)*0.1)&lt;0,0,B24-(B29-B18)*0.1)</f>
        <v>53.199999999999989</v>
      </c>
      <c r="C38" s="168">
        <f>IF(ISERROR(B38/SUM($B$32,$B$34,$B$35,$B$36,$B$38,$B$39)*100),0,B38/SUM($B$32,$B$34,$B$35,$B$36,$B$38,$B$39)*100)</f>
        <v>1.2088161781413314</v>
      </c>
      <c r="D38" s="235"/>
      <c r="G38" s="15"/>
    </row>
    <row r="39" spans="1:7">
      <c r="A39" s="172" t="s">
        <v>78</v>
      </c>
      <c r="B39" s="33">
        <f>IF((B25-(B29-B18))&lt;0,0,B25-(B29-B18)*0.9)</f>
        <v>1931.8</v>
      </c>
      <c r="C39" s="168">
        <f>IF(ISERROR(B39/SUM($B$32,$B$34,$B$35,$B$36,$B$38,$B$39)*100),0,B39/SUM($B$32,$B$34,$B$35,$B$36,$B$38,$B$39)*100)</f>
        <v>43.894569416041818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1141</v>
      </c>
      <c r="C44" s="34" t="s">
        <v>111</v>
      </c>
      <c r="D44" s="175"/>
    </row>
    <row r="45" spans="1:7">
      <c r="A45" s="172" t="s">
        <v>72</v>
      </c>
      <c r="B45" s="33" t="str">
        <f t="shared" si="0"/>
        <v>-</v>
      </c>
      <c r="C45" s="34" t="s">
        <v>111</v>
      </c>
      <c r="D45" s="175"/>
    </row>
    <row r="46" spans="1:7">
      <c r="A46" s="172" t="s">
        <v>73</v>
      </c>
      <c r="B46" s="33">
        <f t="shared" si="0"/>
        <v>102.19465648854961</v>
      </c>
      <c r="C46" s="34" t="s">
        <v>111</v>
      </c>
      <c r="D46" s="175"/>
    </row>
    <row r="47" spans="1:7">
      <c r="A47" s="172" t="s">
        <v>74</v>
      </c>
      <c r="B47" s="33">
        <f t="shared" si="0"/>
        <v>1026.8129770992364</v>
      </c>
      <c r="C47" s="34" t="s">
        <v>111</v>
      </c>
      <c r="D47" s="175"/>
    </row>
    <row r="48" spans="1:7">
      <c r="A48" s="172" t="s">
        <v>75</v>
      </c>
      <c r="B48" s="33">
        <f t="shared" si="0"/>
        <v>145.99236641221376</v>
      </c>
      <c r="C48" s="33">
        <f>B48*10</f>
        <v>1459.9236641221376</v>
      </c>
      <c r="D48" s="235"/>
    </row>
    <row r="49" spans="1:6">
      <c r="A49" s="172" t="s">
        <v>76</v>
      </c>
      <c r="B49" s="33" t="str">
        <f t="shared" si="0"/>
        <v>-</v>
      </c>
      <c r="C49" s="34" t="s">
        <v>111</v>
      </c>
      <c r="D49" s="235"/>
    </row>
    <row r="50" spans="1:6">
      <c r="A50" s="172" t="s">
        <v>77</v>
      </c>
      <c r="B50" s="33">
        <f t="shared" si="0"/>
        <v>53.199999999999989</v>
      </c>
      <c r="C50" s="33">
        <f>B50*2</f>
        <v>106.39999999999998</v>
      </c>
      <c r="D50" s="235"/>
    </row>
    <row r="51" spans="1:6">
      <c r="A51" s="172" t="s">
        <v>78</v>
      </c>
      <c r="B51" s="33">
        <f t="shared" si="0"/>
        <v>1931.8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54</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53</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52</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51</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50</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55</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261</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497</v>
      </c>
      <c r="B13" s="248">
        <f ca="1">'lokale energieproductie'!N90+'lokale energieproductie'!N59</f>
        <v>873.375</v>
      </c>
      <c r="C13" s="248">
        <f ca="1">'lokale energieproductie'!O90+'lokale energieproductie'!O59</f>
        <v>1259.7321428571429</v>
      </c>
      <c r="D13" s="311">
        <f ca="1">('lokale energieproductie'!P59+'lokale energieproductie'!P90)*(-1)</f>
        <v>-2508.2142857142858</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0.21431461104031396</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5856.5945804715557</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4542.5657288543707</v>
      </c>
      <c r="C26" s="39">
        <f>IF(ISERROR(B26*3.6/1000000/'E Balans VL '!Z12*100),0,B26*3.6/1000000/'E Balans VL '!Z12*100)</f>
        <v>9.5590762485526976E-2</v>
      </c>
      <c r="D26" s="238" t="s">
        <v>720</v>
      </c>
      <c r="F26" s="6"/>
    </row>
    <row r="27" spans="1:18">
      <c r="A27" s="232" t="s">
        <v>53</v>
      </c>
      <c r="B27" s="33">
        <f>IF(ISERROR(TER_horeca_ele_kWh/1000),0,TER_horeca_ele_kWh/1000)</f>
        <v>1938.54540139093</v>
      </c>
      <c r="C27" s="39">
        <f>IF(ISERROR(B27*3.6/1000000/'E Balans VL '!Z9*100),0,B27*3.6/1000000/'E Balans VL '!Z9*100)</f>
        <v>0.1641311918736372</v>
      </c>
      <c r="D27" s="238" t="s">
        <v>720</v>
      </c>
      <c r="F27" s="6"/>
    </row>
    <row r="28" spans="1:18">
      <c r="A28" s="172" t="s">
        <v>52</v>
      </c>
      <c r="B28" s="33">
        <f>IF(ISERROR(TER_handel_ele_kWh/1000),0,TER_handel_ele_kWh/1000)</f>
        <v>7465.6643507711096</v>
      </c>
      <c r="C28" s="39">
        <f>IF(ISERROR(B28*3.6/1000000/'E Balans VL '!Z13*100),0,B28*3.6/1000000/'E Balans VL '!Z13*100)</f>
        <v>0.20668588520615616</v>
      </c>
      <c r="D28" s="238" t="s">
        <v>720</v>
      </c>
      <c r="F28" s="6"/>
    </row>
    <row r="29" spans="1:18">
      <c r="A29" s="232" t="s">
        <v>51</v>
      </c>
      <c r="B29" s="33">
        <f>IF(ISERROR(TER_gezond_ele_kWh/1000),0,TER_gezond_ele_kWh/1000)</f>
        <v>1428.66187899175</v>
      </c>
      <c r="C29" s="39">
        <f>IF(ISERROR(B29*3.6/1000000/'E Balans VL '!Z10*100),0,B29*3.6/1000000/'E Balans VL '!Z10*100)</f>
        <v>0.18571020570538518</v>
      </c>
      <c r="D29" s="238" t="s">
        <v>720</v>
      </c>
      <c r="F29" s="6"/>
    </row>
    <row r="30" spans="1:18">
      <c r="A30" s="232" t="s">
        <v>50</v>
      </c>
      <c r="B30" s="33">
        <f>IF(ISERROR(TER_ander_ele_kWh/1000),0,TER_ander_ele_kWh/1000)</f>
        <v>1061.3859800748298</v>
      </c>
      <c r="C30" s="39">
        <f>IF(ISERROR(B30*3.6/1000000/'E Balans VL '!Z14*100),0,B30*3.6/1000000/'E Balans VL '!Z14*100)</f>
        <v>8.2267147108800273E-2</v>
      </c>
      <c r="D30" s="238" t="s">
        <v>720</v>
      </c>
      <c r="F30" s="6"/>
    </row>
    <row r="31" spans="1:18">
      <c r="A31" s="232" t="s">
        <v>55</v>
      </c>
      <c r="B31" s="33">
        <f>IF(ISERROR(TER_onderwijs_ele_kWh/1000),0,TER_onderwijs_ele_kWh/1000)</f>
        <v>74.317270292463206</v>
      </c>
      <c r="C31" s="39">
        <f>IF(ISERROR(B31*3.6/1000000/'E Balans VL '!Z11*100),0,B31*3.6/1000000/'E Balans VL '!Z11*100)</f>
        <v>1.4218160146435538E-2</v>
      </c>
      <c r="D31" s="238" t="s">
        <v>720</v>
      </c>
    </row>
    <row r="32" spans="1:18">
      <c r="A32" s="232" t="s">
        <v>261</v>
      </c>
      <c r="B32" s="33">
        <f>IF(ISERROR(TER_rest_ele_kWh/1000),0,TER_rest_ele_kWh/1000)</f>
        <v>9942.57399888078</v>
      </c>
      <c r="C32" s="39">
        <f>IF(ISERROR(B32*3.6/1000000/'E Balans VL '!Z8*100),0,B32*3.6/1000000/'E Balans VL '!Z8*100)</f>
        <v>8.1984157678084479E-2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33</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41</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0.21431461104031396</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10441.768100495749</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51.690545521579203</v>
      </c>
      <c r="C30" s="39">
        <f>IF(ISERROR(B30*3.6/1000000/'E Balans VL '!Z18*100),0,B30*3.6/1000000/'E Balans VL '!Z18*100)</f>
        <v>3.4410711802637054E-3</v>
      </c>
      <c r="D30" s="238" t="s">
        <v>720</v>
      </c>
    </row>
    <row r="31" spans="1:18">
      <c r="A31" s="6" t="s">
        <v>33</v>
      </c>
      <c r="B31" s="37">
        <f>IF( ISERROR(IND_ander_ele_kWh/1000),0,IND_ander_ele_kWh/1000)</f>
        <v>2977.4973385220596</v>
      </c>
      <c r="C31" s="39">
        <f>IF(ISERROR(B31*3.6/1000000/'E Balans VL '!Z19*100),0,B31*3.6/1000000/'E Balans VL '!Z19*100)</f>
        <v>0.13198065735297901</v>
      </c>
      <c r="D31" s="238" t="s">
        <v>720</v>
      </c>
    </row>
    <row r="32" spans="1:18">
      <c r="A32" s="172" t="s">
        <v>41</v>
      </c>
      <c r="B32" s="37">
        <f>IF( ISERROR(IND_voed_ele_kWh/1000),0,IND_voed_ele_kWh/1000)</f>
        <v>1569.27445409087</v>
      </c>
      <c r="C32" s="39">
        <f>IF(ISERROR(B32*3.6/1000000/'E Balans VL '!Z20*100),0,B32*3.6/1000000/'E Balans VL '!Z20*100)</f>
        <v>5.2418268432414435E-2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3181.94116292034</v>
      </c>
      <c r="C35" s="39">
        <f>IF(ISERROR(B35*3.6/1000000/'E Balans VL '!Z22*100),0,B35*3.6/1000000/'E Balans VL '!Z22*100)</f>
        <v>0.61885260455110269</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40941.277441788501</v>
      </c>
      <c r="C37" s="39">
        <f>IF(ISERROR(B37*3.6/1000000/'E Balans VL '!Z15*100),0,B37*3.6/1000000/'E Balans VL '!Z15*100)</f>
        <v>0.30453640512056779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1722.857814422925</v>
      </c>
      <c r="C5" s="17">
        <f>'Eigen informatie GS &amp; warmtenet'!B60</f>
        <v>0</v>
      </c>
      <c r="D5" s="30">
        <f>IF(ISERROR(SUM(LB_lb_gas_kWh,LB_rest_gas_kWh,onbekend_gas_kWh)/1000),0,SUM(LB_lb_gas_kWh,LB_rest_gas_kWh,onbekend_gas_kWh)/1000)*0.902</f>
        <v>1446.2556790644603</v>
      </c>
      <c r="E5" s="17">
        <f>B17*'E Balans VL '!I25/3.6*1000000/100</f>
        <v>18.042140016143513</v>
      </c>
      <c r="F5" s="17">
        <f>B17*('E Balans VL '!L25/3.6*1000000+'E Balans VL '!N25/3.6*1000000)/100</f>
        <v>8848.8720556496555</v>
      </c>
      <c r="G5" s="18"/>
      <c r="H5" s="17"/>
      <c r="I5" s="17"/>
      <c r="J5" s="17">
        <f>('E Balans VL '!D25+'E Balans VL '!E25)/3.6*1000000*landbouw!B17/100</f>
        <v>153.8666450659972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1722.857814422925</v>
      </c>
      <c r="C8" s="21">
        <f>C5+C6</f>
        <v>0</v>
      </c>
      <c r="D8" s="21">
        <f>MAX((D5+D6),0)</f>
        <v>1446.2556790644603</v>
      </c>
      <c r="E8" s="21">
        <f>MAX((E5+E6),0)</f>
        <v>18.042140016143513</v>
      </c>
      <c r="F8" s="21">
        <f>MAX((F5+F6),0)</f>
        <v>8848.8720556496555</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0.21431461104031396</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369.2336023758146</v>
      </c>
      <c r="C12" s="23">
        <f ca="1">C8*C10</f>
        <v>0</v>
      </c>
      <c r="D12" s="23">
        <f>D8*D10</f>
        <v>292.14364717102097</v>
      </c>
      <c r="E12" s="23">
        <f>E8*E10</f>
        <v>4.0955657836645774</v>
      </c>
      <c r="F12" s="23">
        <f>F8*F10</f>
        <v>2362.648838858458</v>
      </c>
      <c r="G12" s="23"/>
      <c r="H12" s="23"/>
      <c r="I12" s="23"/>
      <c r="J12" s="23">
        <f>J8*J10</f>
        <v>54.468792353363007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0.26518107494140392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429.19422010954327</v>
      </c>
      <c r="C26" s="248">
        <f>B26*'GWP N2O_CH4'!B5</f>
        <v>9013.0786223004088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202.04186310266897</v>
      </c>
      <c r="C27" s="248">
        <f>B27*'GWP N2O_CH4'!B5</f>
        <v>4242.8791251560488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5.7518573654199576</v>
      </c>
      <c r="C28" s="248">
        <f>B28*'GWP N2O_CH4'!B4</f>
        <v>1783.0757832801869</v>
      </c>
      <c r="D28" s="50"/>
    </row>
    <row r="29" spans="1:4">
      <c r="A29" s="41" t="s">
        <v>278</v>
      </c>
      <c r="B29" s="248">
        <f>B34*'ha_N2O bodem landbouw'!B4</f>
        <v>18.488963161737153</v>
      </c>
      <c r="C29" s="248">
        <f>B29*'GWP N2O_CH4'!B4</f>
        <v>5731.5785801385173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3.0555439909121726E-3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8.2556926792418658E-6</v>
      </c>
      <c r="C5" s="446" t="s">
        <v>212</v>
      </c>
      <c r="D5" s="431">
        <f>SUM(D6:D11)</f>
        <v>3.8462654121387263E-5</v>
      </c>
      <c r="E5" s="431">
        <f>SUM(E6:E11)</f>
        <v>4.5495637378928505E-3</v>
      </c>
      <c r="F5" s="444" t="s">
        <v>212</v>
      </c>
      <c r="G5" s="431">
        <f>SUM(G6:G11)</f>
        <v>1.0949892606307396</v>
      </c>
      <c r="H5" s="431">
        <f>SUM(H6:H11)</f>
        <v>0.13326296094231807</v>
      </c>
      <c r="I5" s="446" t="s">
        <v>212</v>
      </c>
      <c r="J5" s="446" t="s">
        <v>212</v>
      </c>
      <c r="K5" s="446" t="s">
        <v>212</v>
      </c>
      <c r="L5" s="446" t="s">
        <v>212</v>
      </c>
      <c r="M5" s="431">
        <f>SUM(M6:M11)</f>
        <v>5.3449563132636879E-2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2.6020617186860123E-6</v>
      </c>
      <c r="C6" s="432"/>
      <c r="D6" s="432">
        <f>vkm_2011_GW_PW*SUMIFS(TableVerdeelsleutelVkm[CNG],TableVerdeelsleutelVkm[Voertuigtype],"Lichte voertuigen")*SUMIFS(TableECFTransport[EnergieConsumptieFactor (PJ per km)],TableECFTransport[Index],CONCATENATE($A6,"_CNG_CNG"))</f>
        <v>1.121718560593517E-5</v>
      </c>
      <c r="E6" s="434">
        <f>vkm_2011_GW_PW*SUMIFS(TableVerdeelsleutelVkm[LPG],TableVerdeelsleutelVkm[Voertuigtype],"Lichte voertuigen")*SUMIFS(TableECFTransport[EnergieConsumptieFactor (PJ per km)],TableECFTransport[Index],CONCATENATE($A6,"_LPG_LPG"))</f>
        <v>1.1670793350912301E-3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0.14355396217447883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3.7794783368900721E-2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7.9475714489150549E-3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0.10932815580642063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3.7487109595002753E-5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4.722771485395778E-3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6.1030535209039445E-7</v>
      </c>
      <c r="C8" s="432"/>
      <c r="D8" s="434">
        <f>vkm_2011_NGW_PW*SUMIFS(TableVerdeelsleutelVkm[CNG],TableVerdeelsleutelVkm[Voertuigtype],"Lichte voertuigen")*SUMIFS(TableECFTransport[EnergieConsumptieFactor (PJ per km)],TableECFTransport[Index],CONCATENATE($A8,"_CNG_CNG"))</f>
        <v>4.7199981254751308E-6</v>
      </c>
      <c r="E8" s="434">
        <f>vkm_2011_NGW_PW*SUMIFS(TableVerdeelsleutelVkm[LPG],TableVerdeelsleutelVkm[Voertuigtype],"Lichte voertuigen")*SUMIFS(TableECFTransport[EnergieConsumptieFactor (PJ per km)],TableECFTransport[Index],CONCATENATE($A8,"_LPG_LPG"))</f>
        <v>4.4839871194497463E-4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5.2312571673170022E-2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1.5180872929121006E-2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2.9613226732959469E-3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2.5916014698174578E-2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7.7196999369189102E-6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1.1194693063508723E-3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5.0433256084654592E-6</v>
      </c>
      <c r="C10" s="432"/>
      <c r="D10" s="434">
        <f>vkm_2011_SW_PW*SUMIFS(TableVerdeelsleutelVkm[CNG],TableVerdeelsleutelVkm[Voertuigtype],"Lichte voertuigen")*SUMIFS(TableECFTransport[EnergieConsumptieFactor (PJ per km)],TableECFTransport[Index],CONCATENATE($A10,"_CNG_CNG"))</f>
        <v>2.2525470389976958E-5</v>
      </c>
      <c r="E10" s="434">
        <f>vkm_2011_SW_PW*SUMIFS(TableVerdeelsleutelVkm[LPG],TableVerdeelsleutelVkm[Voertuigtype],"Lichte voertuigen")*SUMIFS(TableECFTransport[EnergieConsumptieFactor (PJ per km)],TableECFTransport[Index],CONCATENATE($A10,"_LPG_LPG"))</f>
        <v>2.9340856908566461E-3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0.33179051893095518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8.0084020333337683E-2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1.8032575623007755E-2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0.43208803734754037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1.5807750142674305E-4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1.8665852595671471E-2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2.2932479664560739</v>
      </c>
      <c r="C14" s="21"/>
      <c r="D14" s="21">
        <f t="shared" ref="D14:M14" si="0">((D5)*10^9/3600)+D12</f>
        <v>10.68407058927424</v>
      </c>
      <c r="E14" s="21">
        <f t="shared" si="0"/>
        <v>1263.7677049702361</v>
      </c>
      <c r="F14" s="21"/>
      <c r="G14" s="21">
        <f t="shared" si="0"/>
        <v>304163.68350853882</v>
      </c>
      <c r="H14" s="21">
        <f t="shared" si="0"/>
        <v>37017.489150643909</v>
      </c>
      <c r="I14" s="21"/>
      <c r="J14" s="21"/>
      <c r="K14" s="21"/>
      <c r="L14" s="21"/>
      <c r="M14" s="21">
        <f t="shared" si="0"/>
        <v>14847.100870176911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0.21431461104031396</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0.49147654595002443</v>
      </c>
      <c r="C18" s="23"/>
      <c r="D18" s="23">
        <f t="shared" ref="D18:M18" si="1">D14*D16</f>
        <v>2.1581822590333966</v>
      </c>
      <c r="E18" s="23">
        <f t="shared" si="1"/>
        <v>286.87526902824362</v>
      </c>
      <c r="F18" s="23"/>
      <c r="G18" s="23">
        <f t="shared" si="1"/>
        <v>81211.703496779868</v>
      </c>
      <c r="H18" s="23">
        <f t="shared" si="1"/>
        <v>9217.3547985103341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3.1806130656454996E-3</v>
      </c>
      <c r="H50" s="322">
        <f t="shared" si="2"/>
        <v>0</v>
      </c>
      <c r="I50" s="322">
        <f t="shared" si="2"/>
        <v>0</v>
      </c>
      <c r="J50" s="322">
        <f t="shared" si="2"/>
        <v>0</v>
      </c>
      <c r="K50" s="322">
        <f t="shared" si="2"/>
        <v>0</v>
      </c>
      <c r="L50" s="322">
        <f t="shared" si="2"/>
        <v>0</v>
      </c>
      <c r="M50" s="322">
        <f t="shared" si="2"/>
        <v>1.3557571688953591E-4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3.1806130656454996E-3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1.3557571688953591E-4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883.50362934597217</v>
      </c>
      <c r="H54" s="21">
        <f t="shared" si="3"/>
        <v>0</v>
      </c>
      <c r="I54" s="21">
        <f t="shared" si="3"/>
        <v>0</v>
      </c>
      <c r="J54" s="21">
        <f t="shared" si="3"/>
        <v>0</v>
      </c>
      <c r="K54" s="21">
        <f t="shared" si="3"/>
        <v>0</v>
      </c>
      <c r="L54" s="21">
        <f t="shared" si="3"/>
        <v>0</v>
      </c>
      <c r="M54" s="21">
        <f t="shared" si="3"/>
        <v>37.659921358204421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0.21431461104031396</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235.89546903537459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3192.3741670094769</v>
      </c>
      <c r="C6" s="1124"/>
      <c r="D6" s="1127"/>
      <c r="E6" s="1127"/>
      <c r="F6" s="1130"/>
      <c r="G6" s="1133"/>
      <c r="H6" s="1121"/>
      <c r="I6" s="1127"/>
      <c r="J6" s="1127"/>
      <c r="K6" s="1127"/>
      <c r="L6" s="1157"/>
      <c r="M6" s="559"/>
      <c r="N6" s="1169"/>
      <c r="O6" s="1170"/>
      <c r="Q6" s="557"/>
      <c r="R6" s="1154"/>
      <c r="S6" s="1154"/>
    </row>
    <row r="7" spans="1:19" s="547" customFormat="1">
      <c r="A7" s="560" t="s">
        <v>253</v>
      </c>
      <c r="B7" s="561">
        <f>N57</f>
        <v>873.375</v>
      </c>
      <c r="C7" s="562">
        <f>B100</f>
        <v>1026.9580968406249</v>
      </c>
      <c r="D7" s="563"/>
      <c r="E7" s="563">
        <f>E100</f>
        <v>0</v>
      </c>
      <c r="F7" s="564"/>
      <c r="G7" s="565"/>
      <c r="H7" s="563">
        <f>I100</f>
        <v>0</v>
      </c>
      <c r="I7" s="563">
        <f>G100+F100</f>
        <v>0</v>
      </c>
      <c r="J7" s="563">
        <f>H100+D100+C100</f>
        <v>0</v>
      </c>
      <c r="K7" s="563"/>
      <c r="L7" s="566"/>
      <c r="M7" s="567">
        <f>C7*$C$11+D7*$D$11+E7*$E$11+F7*$F$11+G7*$G$11+H7*$H$11+I7*$I$11+J7*$J$11</f>
        <v>207.44553556180622</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4065.7491670094769</v>
      </c>
      <c r="C9" s="578">
        <f t="shared" ref="C9:L9" si="0">SUM(C7:C8)</f>
        <v>1026.9580968406249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207.44553556180622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1259.7321428571429</v>
      </c>
      <c r="C16" s="594">
        <f>B101</f>
        <v>1481.2561888736607</v>
      </c>
      <c r="D16" s="595"/>
      <c r="E16" s="595">
        <f>E101</f>
        <v>0</v>
      </c>
      <c r="F16" s="596"/>
      <c r="G16" s="597"/>
      <c r="H16" s="594">
        <f>I101</f>
        <v>0</v>
      </c>
      <c r="I16" s="595">
        <f>G101+F101</f>
        <v>0</v>
      </c>
      <c r="J16" s="595">
        <f>H101+D101+C101</f>
        <v>0</v>
      </c>
      <c r="K16" s="595"/>
      <c r="L16" s="598"/>
      <c r="M16" s="599">
        <f>C16*$C$21+E16*$E$21+H16*$H$21+I16*$I$21+J16*$J$21+D16*$D$21+F16*$F$21+G16*$G$21+K16*$K$21+L16*$L$21</f>
        <v>299.21375015247946</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1259.7321428571429</v>
      </c>
      <c r="C19" s="577">
        <f>SUM(C16:C18)</f>
        <v>1481.2561888736607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299.21375015247946</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44048</v>
      </c>
      <c r="C27" s="839">
        <v>9810</v>
      </c>
      <c r="D27" s="656" t="s">
        <v>894</v>
      </c>
      <c r="E27" s="655" t="s">
        <v>895</v>
      </c>
      <c r="F27" s="655" t="s">
        <v>896</v>
      </c>
      <c r="G27" s="655" t="s">
        <v>897</v>
      </c>
      <c r="H27" s="655" t="s">
        <v>897</v>
      </c>
      <c r="I27" s="655" t="s">
        <v>898</v>
      </c>
      <c r="J27" s="838">
        <v>40535</v>
      </c>
      <c r="K27" s="838">
        <v>40634</v>
      </c>
      <c r="L27" s="655" t="s">
        <v>899</v>
      </c>
      <c r="M27" s="655">
        <v>1</v>
      </c>
      <c r="N27" s="655">
        <v>3</v>
      </c>
      <c r="O27" s="655">
        <v>15</v>
      </c>
      <c r="P27" s="655">
        <v>20</v>
      </c>
      <c r="Q27" s="655">
        <v>0</v>
      </c>
      <c r="R27" s="655">
        <v>0</v>
      </c>
      <c r="S27" s="655">
        <v>0</v>
      </c>
      <c r="T27" s="655">
        <v>0</v>
      </c>
      <c r="U27" s="655">
        <v>0</v>
      </c>
      <c r="V27" s="655">
        <v>0</v>
      </c>
      <c r="W27" s="655">
        <v>0</v>
      </c>
      <c r="X27" s="655">
        <v>1600</v>
      </c>
      <c r="Y27" s="655" t="s">
        <v>50</v>
      </c>
      <c r="Z27" s="657" t="s">
        <v>156</v>
      </c>
    </row>
    <row r="28" spans="1:26" s="609" customFormat="1" ht="63.75">
      <c r="A28" s="608"/>
      <c r="B28" s="839">
        <v>44048</v>
      </c>
      <c r="C28" s="839">
        <v>9810</v>
      </c>
      <c r="D28" s="656" t="s">
        <v>900</v>
      </c>
      <c r="E28" s="655" t="s">
        <v>901</v>
      </c>
      <c r="F28" s="655" t="s">
        <v>902</v>
      </c>
      <c r="G28" s="655" t="s">
        <v>897</v>
      </c>
      <c r="H28" s="655" t="s">
        <v>897</v>
      </c>
      <c r="I28" s="655" t="s">
        <v>901</v>
      </c>
      <c r="J28" s="838">
        <v>40471</v>
      </c>
      <c r="K28" s="838">
        <v>40848</v>
      </c>
      <c r="L28" s="655" t="s">
        <v>899</v>
      </c>
      <c r="M28" s="655">
        <v>1</v>
      </c>
      <c r="N28" s="655">
        <v>0.375</v>
      </c>
      <c r="O28" s="655">
        <v>1.875</v>
      </c>
      <c r="P28" s="655">
        <v>2.5</v>
      </c>
      <c r="Q28" s="655">
        <v>0</v>
      </c>
      <c r="R28" s="655">
        <v>0</v>
      </c>
      <c r="S28" s="655">
        <v>0</v>
      </c>
      <c r="T28" s="655">
        <v>0</v>
      </c>
      <c r="U28" s="655">
        <v>0</v>
      </c>
      <c r="V28" s="655">
        <v>0</v>
      </c>
      <c r="W28" s="655">
        <v>0</v>
      </c>
      <c r="X28" s="655">
        <v>1600</v>
      </c>
      <c r="Y28" s="655" t="s">
        <v>50</v>
      </c>
      <c r="Z28" s="657" t="s">
        <v>156</v>
      </c>
    </row>
    <row r="29" spans="1:26" s="609" customFormat="1" ht="38.25">
      <c r="A29" s="608"/>
      <c r="B29" s="839">
        <v>44048</v>
      </c>
      <c r="C29" s="839">
        <v>9810</v>
      </c>
      <c r="D29" s="656" t="s">
        <v>903</v>
      </c>
      <c r="E29" s="655" t="s">
        <v>904</v>
      </c>
      <c r="F29" s="655" t="s">
        <v>905</v>
      </c>
      <c r="G29" s="655" t="s">
        <v>906</v>
      </c>
      <c r="H29" s="655" t="s">
        <v>907</v>
      </c>
      <c r="I29" s="655" t="s">
        <v>908</v>
      </c>
      <c r="J29" s="838">
        <v>39785</v>
      </c>
      <c r="K29" s="838">
        <v>40544</v>
      </c>
      <c r="L29" s="655" t="s">
        <v>899</v>
      </c>
      <c r="M29" s="655">
        <v>80</v>
      </c>
      <c r="N29" s="655">
        <v>330</v>
      </c>
      <c r="O29" s="655">
        <v>471.42857142857144</v>
      </c>
      <c r="P29" s="655">
        <v>942.85714285714289</v>
      </c>
      <c r="Q29" s="655">
        <v>0</v>
      </c>
      <c r="R29" s="655">
        <v>0</v>
      </c>
      <c r="S29" s="655">
        <v>0</v>
      </c>
      <c r="T29" s="655">
        <v>0</v>
      </c>
      <c r="U29" s="655">
        <v>0</v>
      </c>
      <c r="V29" s="655">
        <v>0</v>
      </c>
      <c r="W29" s="655">
        <v>0</v>
      </c>
      <c r="X29" s="655">
        <v>1500</v>
      </c>
      <c r="Y29" s="655" t="s">
        <v>51</v>
      </c>
      <c r="Z29" s="657" t="s">
        <v>156</v>
      </c>
    </row>
    <row r="30" spans="1:26" s="609" customFormat="1" ht="25.5">
      <c r="A30" s="608"/>
      <c r="B30" s="839">
        <v>44048</v>
      </c>
      <c r="C30" s="839">
        <v>9810</v>
      </c>
      <c r="D30" s="656" t="s">
        <v>909</v>
      </c>
      <c r="E30" s="655" t="s">
        <v>910</v>
      </c>
      <c r="F30" s="655" t="s">
        <v>911</v>
      </c>
      <c r="G30" s="655" t="s">
        <v>906</v>
      </c>
      <c r="H30" s="655" t="s">
        <v>907</v>
      </c>
      <c r="I30" s="655" t="s">
        <v>910</v>
      </c>
      <c r="J30" s="838">
        <v>39800</v>
      </c>
      <c r="K30" s="838">
        <v>40087</v>
      </c>
      <c r="L30" s="655" t="s">
        <v>899</v>
      </c>
      <c r="M30" s="655">
        <v>120</v>
      </c>
      <c r="N30" s="655">
        <v>540</v>
      </c>
      <c r="O30" s="655">
        <v>771.42857142857144</v>
      </c>
      <c r="P30" s="655">
        <v>1542.8571428571429</v>
      </c>
      <c r="Q30" s="655">
        <v>0</v>
      </c>
      <c r="R30" s="655">
        <v>0</v>
      </c>
      <c r="S30" s="655">
        <v>0</v>
      </c>
      <c r="T30" s="655">
        <v>0</v>
      </c>
      <c r="U30" s="655">
        <v>0</v>
      </c>
      <c r="V30" s="655">
        <v>0</v>
      </c>
      <c r="W30" s="655">
        <v>0</v>
      </c>
      <c r="X30" s="655">
        <v>1100</v>
      </c>
      <c r="Y30" s="655" t="s">
        <v>52</v>
      </c>
      <c r="Z30" s="657" t="s">
        <v>156</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202</v>
      </c>
      <c r="N57" s="613">
        <f>SUM(N27:N56)</f>
        <v>873.375</v>
      </c>
      <c r="O57" s="613">
        <f t="shared" ref="O57:W57" si="2">SUM(O27:O56)</f>
        <v>1259.7321428571429</v>
      </c>
      <c r="P57" s="613">
        <f t="shared" si="2"/>
        <v>2508.2142857142858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202</v>
      </c>
      <c r="N59" s="613">
        <f ca="1">SUMIF($Z$27:AB56,"tertiair",N27:N56)</f>
        <v>873.375</v>
      </c>
      <c r="O59" s="613">
        <f ca="1">SUMIF($Z$27:AC56,"tertiair",O27:O56)</f>
        <v>1259.7321428571429</v>
      </c>
      <c r="P59" s="613">
        <f ca="1">SUMIF($Z$27:AD56,"tertiair",P27:P56)</f>
        <v>2508.2142857142858</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0.59056205736099243</v>
      </c>
      <c r="C97" s="638">
        <f>IF(ISERROR(N57/(O57+N57)),0,N57/(N57+O57))</f>
        <v>0.40943794263900746</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1026.9580968406249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1481.2561888736607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2018-06-27T09:02:35Z</dcterms:modified>
</cp:coreProperties>
</file>