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V88"/>
  <c r="U88"/>
  <c r="T88"/>
  <c r="S88"/>
  <c r="E8" s="1"/>
  <c r="F68" i="14" s="1"/>
  <c r="R88" i="18"/>
  <c r="Q88"/>
  <c r="P88"/>
  <c r="C8" s="1"/>
  <c r="D68" i="14" s="1"/>
  <c r="O88" i="18"/>
  <c r="N88"/>
  <c r="B8" s="1"/>
  <c r="M88"/>
  <c r="W60"/>
  <c r="V60"/>
  <c r="U60"/>
  <c r="T60"/>
  <c r="S60"/>
  <c r="R60"/>
  <c r="Q60"/>
  <c r="P60"/>
  <c r="D6" i="17" s="1"/>
  <c r="O60" i="18"/>
  <c r="N60"/>
  <c r="M60"/>
  <c r="W59"/>
  <c r="V59"/>
  <c r="U59"/>
  <c r="T59"/>
  <c r="S59"/>
  <c r="F13" i="15" s="1"/>
  <c r="R59" i="18"/>
  <c r="Q59"/>
  <c r="P59"/>
  <c r="D13" i="15" s="1"/>
  <c r="O59" i="18"/>
  <c r="N59"/>
  <c r="M59"/>
  <c r="W58"/>
  <c r="V58"/>
  <c r="U58"/>
  <c r="T58"/>
  <c r="S58"/>
  <c r="F16" i="16" s="1"/>
  <c r="R58" i="18"/>
  <c r="Q58"/>
  <c r="P58"/>
  <c r="O5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M79" i="14" s="1"/>
  <c r="K17" i="18"/>
  <c r="J17"/>
  <c r="I17"/>
  <c r="H17"/>
  <c r="G17"/>
  <c r="F17"/>
  <c r="G79" i="14" s="1"/>
  <c r="E17" i="18"/>
  <c r="D17"/>
  <c r="E79" i="14" s="1"/>
  <c r="C17" i="18"/>
  <c r="B17"/>
  <c r="K11"/>
  <c r="J11"/>
  <c r="I11"/>
  <c r="H11"/>
  <c r="G11"/>
  <c r="F11"/>
  <c r="E11"/>
  <c r="D11"/>
  <c r="C11"/>
  <c r="L8"/>
  <c r="L9" s="1"/>
  <c r="K8"/>
  <c r="K9" s="1"/>
  <c r="I8"/>
  <c r="J68" i="14" s="1"/>
  <c r="H8" i="1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B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G80" i="14"/>
  <c r="K79"/>
  <c r="I79"/>
  <c r="B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E8" i="16" l="1"/>
  <c r="N16"/>
  <c r="B13" i="15"/>
  <c r="F6" i="17"/>
  <c r="F8" s="1"/>
  <c r="D16" i="16"/>
  <c r="B8" i="9"/>
  <c r="B6" i="48" s="1"/>
  <c r="Q6" s="1"/>
  <c r="J15" i="16"/>
  <c r="O80" i="14"/>
  <c r="J8" i="18"/>
  <c r="K68" i="14" s="1"/>
  <c r="H68"/>
  <c r="H69" s="1"/>
  <c r="D8" i="17"/>
  <c r="C97" i="18"/>
  <c r="I100" s="1"/>
  <c r="H7" s="1"/>
  <c r="I67" i="14" s="1"/>
  <c r="B16" i="18"/>
  <c r="B78" i="14" s="1"/>
  <c r="C13" i="15"/>
  <c r="C16" s="1"/>
  <c r="D10" i="14" s="1"/>
  <c r="D12" i="22"/>
  <c r="E17" i="14"/>
  <c r="D13" i="48"/>
  <c r="D30" s="1"/>
  <c r="D31" i="20"/>
  <c r="E43" i="14" s="1"/>
  <c r="I101" i="18"/>
  <c r="H16" s="1"/>
  <c r="I78" i="14" s="1"/>
  <c r="E101" i="18"/>
  <c r="E16" s="1"/>
  <c r="F78" i="14" s="1"/>
  <c r="F101" i="18"/>
  <c r="H101"/>
  <c r="D101"/>
  <c r="G101"/>
  <c r="C101"/>
  <c r="B101"/>
  <c r="C16" s="1"/>
  <c r="D78" i="14" s="1"/>
  <c r="E12" i="22"/>
  <c r="F17" i="14"/>
  <c r="E13" i="48"/>
  <c r="B12" i="22"/>
  <c r="C17" i="14"/>
  <c r="B13" i="48"/>
  <c r="B13" i="16"/>
  <c r="C35"/>
  <c r="C64" i="14"/>
  <c r="D11" i="48"/>
  <c r="D28" s="1"/>
  <c r="D14" i="15"/>
  <c r="K19" i="19"/>
  <c r="L35" i="14" s="1"/>
  <c r="I19" i="19"/>
  <c r="J35" i="14" s="1"/>
  <c r="P22" i="16"/>
  <c r="Q39" i="14" s="1"/>
  <c r="P18" i="16"/>
  <c r="J8" i="17"/>
  <c r="J7" i="48" s="1"/>
  <c r="J24" s="1"/>
  <c r="G19" i="18"/>
  <c r="K19"/>
  <c r="L16" i="16"/>
  <c r="L18" s="1"/>
  <c r="N6" i="17"/>
  <c r="F100" i="18"/>
  <c r="E31" i="20"/>
  <c r="F43" i="14" s="1"/>
  <c r="H14" i="22"/>
  <c r="E9" i="14"/>
  <c r="J9"/>
  <c r="J15" s="1"/>
  <c r="N9"/>
  <c r="N15" s="1"/>
  <c r="I11" i="48"/>
  <c r="M11"/>
  <c r="M19" i="19"/>
  <c r="N35" i="14" s="1"/>
  <c r="J7" i="15"/>
  <c r="O5" i="16"/>
  <c r="B7" i="18"/>
  <c r="B67" i="14" s="1"/>
  <c r="C80"/>
  <c r="L6" i="17"/>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H15"/>
  <c r="L15"/>
  <c r="P20"/>
  <c r="K20"/>
  <c r="G20"/>
  <c r="L69"/>
  <c r="D5" i="15"/>
  <c r="D16" s="1"/>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7"/>
  <c r="I26"/>
  <c r="I29"/>
  <c r="K26"/>
  <c r="O29"/>
  <c r="K21"/>
  <c r="G21"/>
  <c r="M16"/>
  <c r="M21" s="1"/>
  <c r="K29"/>
  <c r="B39" i="13"/>
  <c r="B51" s="1"/>
  <c r="F5" s="1"/>
  <c r="F8" s="1"/>
  <c r="G11" i="14" s="1"/>
  <c r="I21" i="48"/>
  <c r="K27"/>
  <c r="G29"/>
  <c r="O21"/>
  <c r="H24"/>
  <c r="L16"/>
  <c r="L21" s="1"/>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B10" i="48"/>
  <c r="C18" i="14"/>
  <c r="J12" i="17"/>
  <c r="K48" i="14" s="1"/>
  <c r="P24" i="48"/>
  <c r="E5" i="17"/>
  <c r="C8"/>
  <c r="G24" i="48"/>
  <c r="I24"/>
  <c r="G81" i="14"/>
  <c r="D79"/>
  <c r="H79"/>
  <c r="H81" s="1"/>
  <c r="L79"/>
  <c r="L81" s="1"/>
  <c r="F79"/>
  <c r="F81" s="1"/>
  <c r="J79"/>
  <c r="E68"/>
  <c r="E69" s="1"/>
  <c r="I68"/>
  <c r="I69" s="1"/>
  <c r="M68"/>
  <c r="M69" s="1"/>
  <c r="D19" i="18"/>
  <c r="H19"/>
  <c r="L19"/>
  <c r="B68" i="14"/>
  <c r="G68"/>
  <c r="G69" s="1"/>
  <c r="E81"/>
  <c r="I81"/>
  <c r="M81"/>
  <c r="F19" i="18"/>
  <c r="D11" i="14"/>
  <c r="C4" i="48"/>
  <c r="M17" i="18"/>
  <c r="M18"/>
  <c r="D13" i="14"/>
  <c r="G22" l="1"/>
  <c r="F7" i="48"/>
  <c r="F24" s="1"/>
  <c r="F12" i="17"/>
  <c r="G48" i="14" s="1"/>
  <c r="L8" i="17"/>
  <c r="L7" i="48" s="1"/>
  <c r="L24" s="1"/>
  <c r="L5" i="17"/>
  <c r="D100" i="18"/>
  <c r="G100"/>
  <c r="L29" i="48"/>
  <c r="E100" i="18"/>
  <c r="E7" s="1"/>
  <c r="H100"/>
  <c r="B81" i="14"/>
  <c r="O78"/>
  <c r="M8" i="18"/>
  <c r="K14" i="48"/>
  <c r="L30"/>
  <c r="L23"/>
  <c r="B100" i="18"/>
  <c r="C7" s="1"/>
  <c r="B35" i="13"/>
  <c r="B47" s="1"/>
  <c r="N8" i="17"/>
  <c r="N5"/>
  <c r="E19" i="18"/>
  <c r="J16"/>
  <c r="K78" i="14" s="1"/>
  <c r="K81" s="1"/>
  <c r="B19" i="18"/>
  <c r="H9"/>
  <c r="M28" i="48"/>
  <c r="C100" i="18"/>
  <c r="I16"/>
  <c r="D81" i="14"/>
  <c r="O79"/>
  <c r="M23" i="48"/>
  <c r="L27"/>
  <c r="B9" i="18"/>
  <c r="M31" i="20"/>
  <c r="N43" i="14" s="1"/>
  <c r="M12" i="22"/>
  <c r="O18" i="16"/>
  <c r="B34" i="13"/>
  <c r="I7" i="18"/>
  <c r="K22" i="14"/>
  <c r="M13"/>
  <c r="L8" i="48"/>
  <c r="L25" s="1"/>
  <c r="L22" i="16"/>
  <c r="M39" i="14" s="1"/>
  <c r="J19" i="18"/>
  <c r="C7" i="48"/>
  <c r="D22" i="14"/>
  <c r="M22" i="48"/>
  <c r="B36" i="13"/>
  <c r="B48" s="1"/>
  <c r="C48" s="1"/>
  <c r="N5" s="1"/>
  <c r="N8" s="1"/>
  <c r="N4" i="48" s="1"/>
  <c r="N21" s="1"/>
  <c r="J7" i="18"/>
  <c r="O68" i="14"/>
  <c r="C68"/>
  <c r="F22"/>
  <c r="E8" i="17"/>
  <c r="D8" i="48"/>
  <c r="D25" s="1"/>
  <c r="D18" i="16"/>
  <c r="D22" s="1"/>
  <c r="E39" i="14" s="1"/>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O28" i="48"/>
  <c r="H22"/>
  <c r="D5"/>
  <c r="D22" s="1"/>
  <c r="B46" i="13"/>
  <c r="E5" s="1"/>
  <c r="E8" s="1"/>
  <c r="E12" s="1"/>
  <c r="F37" i="14" s="1"/>
  <c r="K31" i="48"/>
  <c r="L26"/>
  <c r="M29"/>
  <c r="M25"/>
  <c r="M24"/>
  <c r="I31"/>
  <c r="C50" i="13"/>
  <c r="J5" s="1"/>
  <c r="J8" s="1"/>
  <c r="E7" i="48"/>
  <c r="E24" s="1"/>
  <c r="E12" i="17"/>
  <c r="F48" i="14" s="1"/>
  <c r="C5" i="48"/>
  <c r="C9" i="18" l="1"/>
  <c r="D67" i="14"/>
  <c r="F67"/>
  <c r="F69" s="1"/>
  <c r="E9" i="18"/>
  <c r="M22" i="14"/>
  <c r="J78"/>
  <c r="I19" i="18"/>
  <c r="O22" i="14"/>
  <c r="N12" i="17"/>
  <c r="O48" i="14" s="1"/>
  <c r="N7" i="48"/>
  <c r="N24" s="1"/>
  <c r="E13" i="14"/>
  <c r="E15" s="1"/>
  <c r="E23" s="1"/>
  <c r="L12" i="17"/>
  <c r="M48" i="14" s="1"/>
  <c r="C14" i="48"/>
  <c r="E19" i="14"/>
  <c r="E20" s="1"/>
  <c r="O81"/>
  <c r="B17" i="6" s="1"/>
  <c r="R22" i="14"/>
  <c r="E20" i="15"/>
  <c r="F36" i="14" s="1"/>
  <c r="E16" i="15"/>
  <c r="K67" i="14"/>
  <c r="K69" s="1"/>
  <c r="J9" i="18"/>
  <c r="J67" i="14"/>
  <c r="I9" i="18"/>
  <c r="M7"/>
  <c r="M9" s="1"/>
  <c r="K10" i="14"/>
  <c r="J16" i="15"/>
  <c r="J20" s="1"/>
  <c r="K36"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J5"/>
  <c r="J22" s="1"/>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O67" i="14" l="1"/>
  <c r="D69"/>
  <c r="C78"/>
  <c r="C81" s="1"/>
  <c r="J81"/>
  <c r="M18" i="22"/>
  <c r="N45" i="14" s="1"/>
  <c r="N46" s="1"/>
  <c r="N53" s="1"/>
  <c r="M9" i="48"/>
  <c r="P55" i="14"/>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Q9" i="48"/>
  <c r="M26"/>
  <c r="M31" s="1"/>
  <c r="M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N22" i="16"/>
  <c r="O39" i="14" s="1"/>
  <c r="O41" s="1"/>
  <c r="F8" i="48"/>
  <c r="Q4"/>
  <c r="N22"/>
  <c r="R11" i="14"/>
  <c r="J21" i="48"/>
  <c r="R10" i="14"/>
  <c r="K13" l="1"/>
  <c r="K15" s="1"/>
  <c r="K23" s="1"/>
  <c r="K55" s="1"/>
  <c r="O13"/>
  <c r="O15" s="1"/>
  <c r="F13"/>
  <c r="F15" s="1"/>
  <c r="F23" s="1"/>
  <c r="F55" s="1"/>
  <c r="F22" i="16"/>
  <c r="G39" i="14" s="1"/>
  <c r="G41" s="1"/>
  <c r="N25" i="48"/>
  <c r="N31" s="1"/>
  <c r="N14"/>
  <c r="E8"/>
  <c r="Q8" s="1"/>
  <c r="Q14" s="1"/>
  <c r="J22" i="16"/>
  <c r="K39" i="14" s="1"/>
  <c r="K41" s="1"/>
  <c r="K53" s="1"/>
  <c r="J31" i="48"/>
  <c r="J14"/>
  <c r="R20" i="14"/>
  <c r="N55"/>
  <c r="H55"/>
  <c r="G31" i="48"/>
  <c r="O53" i="14"/>
  <c r="G53"/>
  <c r="G55" s="1"/>
  <c r="O69" s="1"/>
  <c r="B9" i="6" s="1"/>
  <c r="B12" s="1"/>
  <c r="M53" i="14"/>
  <c r="M55" s="1"/>
  <c r="C12" i="13"/>
  <c r="D37" i="14" s="1"/>
  <c r="D41" s="1"/>
  <c r="C23" i="48"/>
  <c r="C24"/>
  <c r="C27"/>
  <c r="C28"/>
  <c r="C22"/>
  <c r="C25"/>
  <c r="C29"/>
  <c r="C21"/>
  <c r="C26"/>
  <c r="F25"/>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<sst xmlns="http://schemas.openxmlformats.org/spreadsheetml/2006/main" count="2029" uniqueCount="894">
  <si>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</si>
  <si>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</si>
  <si>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</si>
  <si>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</si>
  <si>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</si>
  <si>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</si>
  <si>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</si>
  <si>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</si>
  <si>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</si>
  <si>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</si>
  <si>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</si>
  <si>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</si>
  <si>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</si>
  <si>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</si>
  <si>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</si>
  <si>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</si>
  <si>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</si>
  <si>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</si>
  <si>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</si>
  <si>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</si>
  <si>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</si>
  <si>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</si>
  <si>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</si>
  <si>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</si>
  <si>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</si>
  <si>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</si>
  <si>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</si>
  <si>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</si>
  <si>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</si>
  <si>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</si>
  <si>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</si>
  <si>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</si>
  <si>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</si>
  <si>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</si>
  <si>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</si>
  <si>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</si>
  <si>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</si>
  <si>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</si>
  <si>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</si>
  <si>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</si>
  <si>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</si>
  <si>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</si>
  <si>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</si>
  <si>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</si>
  <si>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</si>
  <si>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</si>
  <si>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</si>
  <si>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</si>
  <si>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</si>
  <si>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</si>
  <si>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</si>
  <si>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</si>
  <si>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</si>
  <si>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</si>
  <si>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</si>
  <si>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</si>
  <si>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</si>
  <si>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</si>
  <si>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</si>
  <si>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</si>
  <si>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</si>
  <si>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</si>
  <si>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</si>
  <si>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</si>
  <si>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</si>
  <si>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</si>
  <si>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</si>
  <si>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</si>
  <si>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</si>
  <si>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</si>
  <si>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</si>
  <si>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</si>
  <si>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</si>
  <si>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</si>
  <si>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</si>
  <si>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</si>
  <si>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</si>
  <si>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</si>
  <si>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</si>
  <si>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</si>
  <si>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</si>
  <si>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</si>
  <si>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</si>
  <si>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</si>
  <si>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</si>
  <si>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</si>
  <si>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</si>
  <si>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</si>
  <si>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</si>
  <si>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</si>
  <si>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</si>
  <si>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</si>
  <si>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</si>
  <si>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</si>
  <si>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</si>
  <si>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</si>
  <si>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</si>
  <si>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</si>
  <si>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</si>
  <si>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</si>
  <si>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</si>
  <si>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</si>
  <si>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</si>
  <si>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</si>
  <si>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</si>
  <si>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</si>
  <si>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</si>
  <si>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</si>
  <si>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</si>
  <si>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</si>
  <si>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</si>
  <si>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</si>
  <si>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</si>
  <si>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</si>
  <si>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</si>
  <si>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</si>
  <si>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</si>
  <si>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</si>
  <si>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</si>
  <si>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</si>
  <si>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</si>
  <si>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</si>
  <si>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</si>
  <si>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</si>
  <si>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</si>
  <si>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</si>
  <si>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</si>
  <si>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</si>
  <si>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</si>
  <si>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</si>
  <si>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</si>
  <si>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</si>
  <si>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</si>
  <si>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</si>
  <si>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</si>
  <si>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</si>
  <si>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</si>
  <si>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</si>
  <si>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</si>
  <si>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</si>
  <si>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</si>
  <si>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</si>
  <si>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</si>
  <si>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</si>
  <si>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</si>
  <si>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</si>
  <si>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</si>
  <si>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</si>
  <si>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</si>
  <si>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</si>
  <si>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</si>
  <si>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</si>
  <si>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</si>
  <si>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</si>
  <si>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</si>
  <si>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</si>
  <si>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</si>
  <si>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</si>
  <si>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</si>
  <si>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</si>
  <si>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</si>
  <si>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</si>
  <si>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</si>
  <si>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</si>
  <si>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</si>
  <si>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</si>
  <si>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</si>
  <si>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</si>
  <si>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</si>
  <si>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</si>
  <si>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</si>
  <si>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</si>
  <si>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</si>
  <si>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</si>
  <si>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</si>
  <si>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</si>
  <si>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</si>
  <si>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</si>
  <si>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</si>
  <si>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</si>
  <si>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</si>
  <si>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</si>
  <si>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</si>
  <si>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</si>
  <si>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</si>
  <si>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</si>
  <si>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</si>
  <si>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</si>
  <si>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</si>
  <si>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</si>
  <si>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</si>
  <si>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</si>
  <si>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</si>
  <si>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</si>
  <si>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</si>
  <si>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</si>
  <si>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</si>
  <si>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</si>
  <si>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</si>
  <si>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</si>
  <si>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</si>
  <si>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</si>
  <si>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</si>
  <si>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</si>
  <si>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</si>
  <si>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</si>
  <si>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</si>
  <si>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</si>
  <si>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</si>
  <si>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</si>
  <si>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</si>
  <si>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</si>
  <si>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</si>
  <si>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</si>
  <si>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</si>
  <si>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</si>
  <si>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</si>
  <si>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</si>
  <si>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</si>
  <si>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</si>
  <si>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</si>
  <si>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</si>
  <si>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</si>
  <si>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</si>
  <si>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</si>
  <si>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</si>
  <si>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</si>
  <si>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</si>
  <si>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</si>
  <si>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</si>
  <si>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</si>
  <si>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</si>
  <si>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</si>
  <si>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</si>
  <si>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</si>
  <si>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</si>
  <si>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</si>
  <si>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</si>
  <si>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</si>
  <si>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</si>
  <si>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</si>
  <si>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</si>
  <si>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</si>
  <si>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</si>
  <si>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</si>
  <si>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</si>
  <si>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</si>
  <si>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</si>
  <si>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</si>
  <si>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</si>
  <si>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</si>
  <si>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</si>
  <si>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</si>
  <si>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</si>
  <si>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</si>
  <si>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</si>
  <si>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</si>
  <si>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</si>
  <si>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</si>
  <si>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</si>
  <si>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</si>
  <si>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</si>
  <si>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</si>
  <si>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</si>
  <si>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</si>
  <si>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</si>
  <si>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</si>
  <si>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</si>
  <si>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</si>
  <si>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</si>
  <si>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</si>
  <si>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</si>
  <si>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</si>
  <si>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</si>
  <si>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</si>
  <si>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</si>
  <si>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</si>
  <si>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</si>
  <si>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</si>
  <si>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</si>
  <si>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</si>
  <si>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</si>
  <si>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</si>
  <si>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</si>
  <si>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</si>
  <si>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</si>
  <si>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</si>
  <si>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</si>
  <si>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</si>
  <si>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</si>
  <si>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</si>
  <si>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</si>
  <si>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</si>
  <si>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</si>
  <si>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</si>
  <si>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</si>
  <si>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</si>
  <si>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</si>
  <si>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</si>
  <si>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</si>
  <si>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</si>
  <si>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</si>
  <si>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</si>
  <si>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</si>
  <si>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</si>
  <si>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</si>
  <si>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</si>
  <si>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</si>
  <si>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</si>
  <si>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</si>
  <si>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</si>
  <si>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</si>
  <si>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</si>
  <si>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</si>
  <si>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</si>
  <si>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</si>
  <si>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</si>
  <si>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</si>
  <si>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</si>
  <si>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</si>
  <si>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</si>
  <si>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</si>
  <si>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</si>
  <si>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</si>
  <si>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</si>
  <si>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</si>
  <si>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</si>
  <si>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</si>
  <si>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</si>
  <si>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</si>
  <si>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</si>
  <si>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</si>
  <si>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</si>
  <si>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</si>
  <si>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</si>
  <si>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</si>
  <si>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</si>
  <si>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</si>
  <si>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</si>
  <si>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</si>
  <si>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</si>
  <si>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</si>
  <si>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</si>
  <si>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</si>
  <si>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</si>
  <si>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</si>
  <si>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</si>
  <si>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</si>
  <si>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</si>
  <si>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</si>
  <si>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</si>
  <si>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</si>
  <si>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</si>
  <si>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</si>
  <si>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</si>
  <si>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</si>
  <si>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</si>
  <si>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</si>
  <si>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</si>
  <si>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</si>
  <si>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</si>
  <si>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</si>
  <si>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</si>
  <si>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</si>
  <si>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</si>
  <si>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</si>
  <si>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</si>
  <si>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</si>
  <si>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</si>
  <si>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</si>
  <si>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</si>
  <si>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</si>
  <si>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</si>
  <si>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</si>
  <si>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</si>
  <si>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</si>
  <si>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</si>
  <si>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</si>
  <si>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</si>
  <si>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</si>
  <si>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</si>
  <si>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</si>
  <si>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</si>
  <si>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</si>
  <si>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</si>
  <si>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</si>
  <si>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</si>
  <si>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</si>
  <si>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</si>
  <si>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</si>
  <si>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</si>
  <si>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</si>
  <si>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</si>
  <si>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</si>
  <si>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</si>
  <si>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</si>
  <si>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</si>
  <si>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</si>
  <si>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</si>
  <si>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</si>
  <si>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</si>
  <si>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</si>
  <si>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</si>
  <si>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</si>
  <si>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</si>
  <si>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</si>
  <si>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</si>
  <si>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</si>
  <si>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</si>
  <si>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</si>
  <si>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</si>
  <si>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</si>
  <si>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</si>
  <si>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</si>
  <si>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</si>
  <si>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</si>
  <si>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</si>
  <si>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</si>
  <si>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</si>
  <si>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</si>
  <si>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</si>
  <si>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</si>
  <si>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</si>
  <si>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</si>
  <si>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</si>
  <si>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</si>
  <si>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</si>
  <si>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</si>
  <si>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</si>
  <si>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</si>
  <si>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</si>
  <si>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</si>
  <si>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</si>
  <si>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</si>
  <si>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</si>
  <si>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</si>
  <si>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</si>
  <si>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</si>
  <si>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</si>
  <si>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</si>
  <si>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</si>
  <si>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</si>
  <si>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</si>
  <si>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</si>
  <si>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</si>
  <si>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</si>
  <si>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</si>
  <si>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</si>
  <si>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</si>
  <si>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</si>
  <si>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</si>
  <si>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</si>
  <si>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</si>
  <si>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</si>
  <si>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</si>
  <si>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</si>
  <si>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</si>
  <si>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</si>
  <si>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</si>
  <si>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</si>
  <si>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</si>
  <si>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</si>
  <si>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</si>
  <si>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</si>
  <si>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</si>
  <si>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</si>
  <si>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</si>
  <si>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</si>
  <si>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</si>
  <si>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</si>
  <si>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</si>
  <si>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</si>
  <si>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</si>
  <si>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</si>
  <si>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</si>
  <si>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</si>
  <si>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</si>
  <si>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</si>
  <si>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</si>
  <si>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</si>
  <si>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</si>
  <si>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</si>
  <si>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</si>
  <si>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</si>
  <si>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</si>
  <si>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</si>
  <si>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</si>
  <si>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</si>
  <si>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</si>
  <si>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</si>
  <si>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</si>
  <si>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</si>
  <si>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</si>
  <si>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</si>
  <si>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</si>
  <si>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</si>
  <si>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</si>
  <si>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</si>
  <si>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</si>
  <si>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</si>
  <si>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</si>
  <si>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</si>
  <si>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</si>
  <si>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</si>
  <si>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</si>
  <si>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</si>
  <si>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</si>
  <si>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</si>
  <si>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</si>
  <si>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</si>
  <si>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</si>
  <si>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</si>
  <si>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</si>
  <si>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</si>
  <si>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</si>
  <si>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</si>
  <si>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</si>
  <si>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</si>
  <si>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</si>
  <si>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</si>
  <si>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</si>
  <si>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</si>
  <si>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</si>
  <si>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</si>
  <si>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</si>
  <si>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</si>
  <si>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</si>
  <si>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</si>
  <si>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</si>
  <si>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</si>
  <si>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</si>
  <si>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</si>
  <si>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</si>
  <si>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</si>
  <si>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</si>
  <si>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</si>
  <si>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</si>
  <si>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</si>
  <si>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</si>
  <si>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</si>
  <si>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</si>
  <si>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</si>
  <si>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</si>
  <si>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</si>
  <si>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</si>
  <si>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</si>
  <si>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</si>
  <si>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</si>
  <si>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</si>
  <si>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</si>
  <si>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</si>
  <si>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</si>
  <si>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</si>
  <si>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</si>
  <si>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</si>
  <si>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</si>
  <si>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</si>
  <si>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</si>
  <si>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</si>
  <si>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</si>
  <si>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</si>
  <si>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</si>
  <si>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</si>
  <si>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</si>
  <si>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</si>
  <si>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</si>
  <si>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</si>
  <si>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</si>
  <si>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</si>
  <si>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</si>
  <si>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</si>
  <si>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</si>
  <si>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</si>
  <si>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</si>
  <si>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</si>
  <si>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</si>
  <si>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</si>
  <si>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</si>
  <si>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</si>
  <si>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</si>
  <si>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</si>
  <si>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</si>
  <si>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</si>
  <si>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</si>
  <si>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</si>
  <si>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</si>
  <si>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</si>
  <si>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</si>
  <si>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</si>
  <si>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</si>
  <si>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</si>
  <si>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</si>
  <si>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</si>
  <si>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</si>
  <si>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</si>
  <si>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</si>
  <si>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</si>
  <si>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</si>
  <si>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</si>
  <si>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</si>
  <si>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</si>
  <si>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</si>
  <si>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</si>
  <si>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</si>
  <si>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</si>
  <si>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</si>
  <si>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</si>
  <si>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</si>
  <si>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</si>
  <si>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</si>
  <si>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</si>
  <si>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</si>
  <si>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</si>
  <si>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</si>
  <si>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</si>
  <si>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</si>
  <si>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</si>
  <si>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</si>
  <si>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</si>
  <si>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</si>
  <si>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</si>
  <si>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</si>
  <si>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</si>
  <si>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</si>
  <si>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</si>
  <si>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</si>
  <si>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</si>
  <si>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</si>
  <si>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</si>
  <si>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</si>
  <si>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</si>
  <si>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</si>
  <si>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</si>
  <si>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</si>
  <si>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</si>
  <si>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</si>
  <si>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</si>
  <si>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</si>
  <si>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</si>
  <si>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</si>
  <si>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</si>
  <si>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</si>
  <si>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</si>
  <si>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</si>
  <si>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</si>
  <si>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</si>
  <si>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</si>
  <si>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</si>
  <si>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</si>
  <si>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</si>
  <si>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</si>
  <si>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</si>
  <si>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</si>
  <si>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</si>
  <si>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</si>
  <si>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</si>
  <si>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</si>
  <si>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</si>
  <si>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</si>
  <si>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</si>
  <si>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</si>
  <si>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</si>
  <si>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</si>
  <si>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</si>
  <si>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</si>
  <si>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</si>
  <si>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</si>
  <si>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</si>
  <si>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</si>
  <si>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</si>
  <si>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</si>
  <si>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</si>
  <si>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</si>
  <si>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</si>
  <si>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</si>
  <si>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</si>
  <si>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</si>
  <si>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</si>
  <si>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</si>
  <si>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</si>
  <si>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</si>
  <si>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</si>
  <si>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</si>
  <si>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</si>
  <si>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</si>
  <si>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</si>
  <si>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</si>
  <si>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</si>
  <si>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</si>
  <si>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</si>
  <si>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</si>
  <si>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</si>
  <si>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</si>
  <si>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</si>
  <si>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</si>
  <si>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</si>
  <si>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</si>
  <si>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</si>
  <si>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</si>
  <si>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</si>
  <si>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</si>
  <si>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</si>
  <si>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</si>
  <si>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</si>
  <si>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</si>
  <si>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</si>
  <si>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</si>
  <si>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</si>
  <si>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</si>
  <si>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</si>
  <si>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</si>
  <si>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</si>
  <si>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</si>
  <si>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</si>
  <si>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</si>
  <si>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</si>
  <si>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</si>
  <si>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</si>
  <si>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</si>
  <si>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</si>
  <si>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</si>
  <si>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</si>
  <si>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</si>
  <si>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</si>
  <si>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</si>
  <si>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</si>
  <si>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</si>
  <si>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</si>
  <si>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</si>
  <si>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</si>
  <si>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</si>
  <si>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</si>
  <si>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</si>
  <si>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</si>
  <si>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</si>
  <si>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</si>
  <si>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</si>
  <si>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</si>
  <si>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</si>
  <si>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</si>
  <si>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</si>
  <si>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</si>
  <si>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</si>
  <si>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</si>
  <si>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</si>
  <si>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</si>
  <si>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</si>
  <si>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</si>
  <si>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</si>
  <si>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</si>
  <si>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</si>
  <si>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</si>
  <si>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</si>
  <si>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</si>
  <si>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</si>
  <si>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</si>
  <si>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</si>
  <si>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</si>
  <si>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</si>
  <si>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</si>
  <si>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</si>
  <si>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</si>
  <si>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</si>
  <si>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</si>
  <si>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</si>
  <si>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</si>
  <si>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</si>
  <si>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</si>
  <si>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</si>
  <si>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</si>
  <si>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</si>
  <si>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</si>
  <si>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</si>
  <si>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</si>
  <si>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</si>
  <si>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</si>
  <si>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</si>
  <si>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</si>
  <si>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</si>
  <si>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</si>
  <si>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</si>
  <si>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</si>
  <si>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</si>
  <si>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</si>
  <si>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</si>
  <si>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</si>
  <si>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</si>
  <si>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</si>
  <si>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</si>
  <si>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</si>
  <si>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</si>
  <si>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</si>
  <si>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</si>
  <si>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</si>
  <si>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</si>
  <si>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</si>
  <si>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</si>
  <si>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</si>
  <si>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</si>
  <si>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</si>
  <si>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</si>
  <si>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</si>
  <si>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</si>
  <si>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</si>
  <si>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</si>
  <si>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</si>
  <si>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</si>
  <si>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</si>
  <si>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</si>
  <si>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</si>
  <si>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</si>
  <si>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</si>
  <si>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</si>
  <si>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</si>
  <si>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</si>
  <si>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</si>
  <si>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</si>
  <si>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</si>
  <si>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</si>
  <si>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</si>
  <si>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</si>
  <si>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</si>
  <si>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</si>
  <si>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</si>
  <si>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</si>
  <si>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</si>
  <si>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</si>
  <si>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</si>
  <si>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</si>
  <si>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</si>
  <si>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</si>
  <si>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</si>
  <si>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</si>
  <si>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</si>
  <si>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</si>
  <si>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</si>
  <si>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</si>
  <si>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</si>
  <si>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</si>
  <si>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</si>
  <si>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</si>
  <si>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</si>
  <si>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</si>
  <si>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</si>
  <si>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</si>
  <si>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</si>
  <si>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</si>
  <si>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</si>
  <si>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</si>
  <si>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</si>
  <si>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</si>
  <si>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</si>
  <si>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</si>
  <si>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</si>
  <si>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</si>
  <si>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</si>
  <si>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</si>
  <si>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</si>
  <si>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</si>
  <si>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</si>
  <si>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</si>
  <si>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</si>
  <si>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</si>
  <si>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</si>
  <si>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</si>
  <si>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</si>
  <si>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</si>
  <si>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</si>
  <si>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</si>
  <si>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</si>
  <si>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</si>
  <si>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</si>
  <si>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</si>
  <si>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</si>
  <si>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</si>
  <si>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</si>
  <si>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</si>
  <si>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</si>
  <si>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</si>
  <si>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</si>
  <si>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</si>
  <si>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</si>
  <si>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</si>
  <si>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</si>
  <si>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</si>
  <si>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44040</t>
  </si>
  <si>
    <t>MELLE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</si>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</sst>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44040</v>
      </c>
      <c r="B6" s="396"/>
      <c r="C6" s="397"/>
    </row>
    <row r="7" spans="1:7" s="394" customFormat="1" ht="15.75" customHeight="1">
      <c r="A7" s="398" t="str">
        <f>txtMunicipality</f>
        <v>MELLE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44040</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4445</v>
      </c>
      <c r="C9" s="336">
        <v>4613</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498</v>
      </c>
    </row>
    <row r="15" spans="1:6">
      <c r="A15" s="1194" t="s">
        <v>185</v>
      </c>
      <c r="B15" s="333">
        <v>7</v>
      </c>
    </row>
    <row r="16" spans="1:6">
      <c r="A16" s="1194" t="s">
        <v>6</v>
      </c>
      <c r="B16" s="333">
        <v>241</v>
      </c>
    </row>
    <row r="17" spans="1:6">
      <c r="A17" s="1194" t="s">
        <v>7</v>
      </c>
      <c r="B17" s="333">
        <v>107</v>
      </c>
    </row>
    <row r="18" spans="1:6">
      <c r="A18" s="1194" t="s">
        <v>8</v>
      </c>
      <c r="B18" s="333">
        <v>203</v>
      </c>
    </row>
    <row r="19" spans="1:6">
      <c r="A19" s="1194" t="s">
        <v>9</v>
      </c>
      <c r="B19" s="333">
        <v>155</v>
      </c>
    </row>
    <row r="20" spans="1:6">
      <c r="A20" s="1194" t="s">
        <v>10</v>
      </c>
      <c r="B20" s="333">
        <v>106</v>
      </c>
    </row>
    <row r="21" spans="1:6">
      <c r="A21" s="1194" t="s">
        <v>11</v>
      </c>
      <c r="B21" s="333">
        <v>434</v>
      </c>
    </row>
    <row r="22" spans="1:6">
      <c r="A22" s="1194" t="s">
        <v>12</v>
      </c>
      <c r="B22" s="333">
        <v>417</v>
      </c>
    </row>
    <row r="23" spans="1:6">
      <c r="A23" s="1194" t="s">
        <v>13</v>
      </c>
      <c r="B23" s="333">
        <v>24</v>
      </c>
    </row>
    <row r="24" spans="1:6">
      <c r="A24" s="1194" t="s">
        <v>14</v>
      </c>
      <c r="B24" s="333">
        <v>3</v>
      </c>
    </row>
    <row r="25" spans="1:6">
      <c r="A25" s="1194" t="s">
        <v>15</v>
      </c>
      <c r="B25" s="333">
        <v>112</v>
      </c>
    </row>
    <row r="26" spans="1:6">
      <c r="A26" s="1194" t="s">
        <v>16</v>
      </c>
      <c r="B26" s="333">
        <v>14</v>
      </c>
    </row>
    <row r="27" spans="1:6">
      <c r="A27" s="1194" t="s">
        <v>17</v>
      </c>
      <c r="B27" s="333">
        <v>4</v>
      </c>
    </row>
    <row r="28" spans="1:6">
      <c r="A28" s="1194" t="s">
        <v>18</v>
      </c>
      <c r="B28" s="333">
        <v>14</v>
      </c>
    </row>
    <row r="29" spans="1:6">
      <c r="A29" s="1194" t="s">
        <v>888</v>
      </c>
      <c r="B29" s="333">
        <v>102</v>
      </c>
    </row>
    <row r="30" spans="1:6">
      <c r="A30" s="1190" t="s">
        <v>889</v>
      </c>
      <c r="B30" s="1190">
        <v>18</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5</v>
      </c>
      <c r="D36" s="333">
        <v>1971593.1620203799</v>
      </c>
      <c r="E36" s="333">
        <v>6</v>
      </c>
      <c r="F36" s="333">
        <v>2668601.1474273298</v>
      </c>
    </row>
    <row r="37" spans="1:6">
      <c r="A37" s="1194" t="s">
        <v>25</v>
      </c>
      <c r="B37" s="1194" t="s">
        <v>28</v>
      </c>
      <c r="C37" s="333">
        <v>0</v>
      </c>
      <c r="D37" s="333">
        <v>0</v>
      </c>
      <c r="E37" s="333">
        <v>0</v>
      </c>
      <c r="F37" s="333">
        <v>0</v>
      </c>
    </row>
    <row r="38" spans="1:6">
      <c r="A38" s="1194" t="s">
        <v>25</v>
      </c>
      <c r="B38" s="1194" t="s">
        <v>29</v>
      </c>
      <c r="C38" s="333">
        <v>0</v>
      </c>
      <c r="D38" s="333">
        <v>0</v>
      </c>
      <c r="E38" s="333">
        <v>2</v>
      </c>
      <c r="F38" s="333">
        <v>68162.321830978806</v>
      </c>
    </row>
    <row r="39" spans="1:6">
      <c r="A39" s="1194" t="s">
        <v>30</v>
      </c>
      <c r="B39" s="1194" t="s">
        <v>31</v>
      </c>
      <c r="C39" s="333">
        <v>2970</v>
      </c>
      <c r="D39" s="333">
        <v>52930079.131648503</v>
      </c>
      <c r="E39" s="333">
        <v>4256</v>
      </c>
      <c r="F39" s="333">
        <v>20831442.0464775</v>
      </c>
    </row>
    <row r="40" spans="1:6">
      <c r="A40" s="1194" t="s">
        <v>30</v>
      </c>
      <c r="B40" s="1194" t="s">
        <v>29</v>
      </c>
      <c r="C40" s="333">
        <v>0</v>
      </c>
      <c r="D40" s="333">
        <v>0</v>
      </c>
      <c r="E40" s="333">
        <v>0</v>
      </c>
      <c r="F40" s="333">
        <v>0</v>
      </c>
    </row>
    <row r="41" spans="1:6">
      <c r="A41" s="1194" t="s">
        <v>32</v>
      </c>
      <c r="B41" s="1194" t="s">
        <v>33</v>
      </c>
      <c r="C41" s="333">
        <v>28</v>
      </c>
      <c r="D41" s="333">
        <v>949013.75204046594</v>
      </c>
      <c r="E41" s="333">
        <v>66</v>
      </c>
      <c r="F41" s="333">
        <v>973150.05848349503</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29</v>
      </c>
      <c r="D48" s="333">
        <v>1281329.5697724</v>
      </c>
      <c r="E48" s="333">
        <v>42</v>
      </c>
      <c r="F48" s="333">
        <v>4063528.1807156</v>
      </c>
    </row>
    <row r="49" spans="1:6">
      <c r="A49" s="1194" t="s">
        <v>32</v>
      </c>
      <c r="B49" s="1194" t="s">
        <v>40</v>
      </c>
      <c r="C49" s="333">
        <v>0</v>
      </c>
      <c r="D49" s="333">
        <v>0</v>
      </c>
      <c r="E49" s="333">
        <v>0</v>
      </c>
      <c r="F49" s="333">
        <v>0</v>
      </c>
    </row>
    <row r="50" spans="1:6">
      <c r="A50" s="1194" t="s">
        <v>32</v>
      </c>
      <c r="B50" s="1194" t="s">
        <v>41</v>
      </c>
      <c r="C50" s="333">
        <v>4</v>
      </c>
      <c r="D50" s="333">
        <v>425921.43548908102</v>
      </c>
      <c r="E50" s="333">
        <v>4</v>
      </c>
      <c r="F50" s="333">
        <v>267191.87108229398</v>
      </c>
    </row>
    <row r="51" spans="1:6">
      <c r="A51" s="1194" t="s">
        <v>42</v>
      </c>
      <c r="B51" s="1194" t="s">
        <v>43</v>
      </c>
      <c r="C51" s="333">
        <v>8</v>
      </c>
      <c r="D51" s="333">
        <v>2180477.5549346199</v>
      </c>
      <c r="E51" s="333">
        <v>29</v>
      </c>
      <c r="F51" s="333">
        <v>320667.09514824097</v>
      </c>
    </row>
    <row r="52" spans="1:6">
      <c r="A52" s="1194" t="s">
        <v>42</v>
      </c>
      <c r="B52" s="1194" t="s">
        <v>29</v>
      </c>
      <c r="C52" s="333">
        <v>2</v>
      </c>
      <c r="D52" s="333">
        <v>1894613.1034363599</v>
      </c>
      <c r="E52" s="333">
        <v>3</v>
      </c>
      <c r="F52" s="333">
        <v>50459.144119440498</v>
      </c>
    </row>
    <row r="53" spans="1:6">
      <c r="A53" s="1194" t="s">
        <v>44</v>
      </c>
      <c r="B53" s="1194" t="s">
        <v>45</v>
      </c>
      <c r="C53" s="333">
        <v>113</v>
      </c>
      <c r="D53" s="333">
        <v>2129337.3717767699</v>
      </c>
      <c r="E53" s="333">
        <v>194</v>
      </c>
      <c r="F53" s="333">
        <v>1044666.5759374599</v>
      </c>
    </row>
    <row r="54" spans="1:6">
      <c r="A54" s="1194" t="s">
        <v>46</v>
      </c>
      <c r="B54" s="1194" t="s">
        <v>47</v>
      </c>
      <c r="C54" s="333">
        <v>0</v>
      </c>
      <c r="D54" s="333">
        <v>0</v>
      </c>
      <c r="E54" s="333">
        <v>2</v>
      </c>
      <c r="F54" s="333">
        <v>835725</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10</v>
      </c>
      <c r="D57" s="333">
        <v>290971.72715680097</v>
      </c>
      <c r="E57" s="333">
        <v>75</v>
      </c>
      <c r="F57" s="333">
        <v>1037502.20637454</v>
      </c>
    </row>
    <row r="58" spans="1:6">
      <c r="A58" s="1194" t="s">
        <v>49</v>
      </c>
      <c r="B58" s="1194" t="s">
        <v>51</v>
      </c>
      <c r="C58" s="333">
        <v>19</v>
      </c>
      <c r="D58" s="333">
        <v>3724230.1944425302</v>
      </c>
      <c r="E58" s="333">
        <v>22</v>
      </c>
      <c r="F58" s="333">
        <v>650929.02928380296</v>
      </c>
    </row>
    <row r="59" spans="1:6">
      <c r="A59" s="1194" t="s">
        <v>49</v>
      </c>
      <c r="B59" s="1194" t="s">
        <v>52</v>
      </c>
      <c r="C59" s="333">
        <v>50</v>
      </c>
      <c r="D59" s="333">
        <v>1928892.1884230799</v>
      </c>
      <c r="E59" s="333">
        <v>97</v>
      </c>
      <c r="F59" s="333">
        <v>3135390.88521834</v>
      </c>
    </row>
    <row r="60" spans="1:6">
      <c r="A60" s="1194" t="s">
        <v>49</v>
      </c>
      <c r="B60" s="1194" t="s">
        <v>53</v>
      </c>
      <c r="C60" s="333">
        <v>25</v>
      </c>
      <c r="D60" s="333">
        <v>1152524.6033291901</v>
      </c>
      <c r="E60" s="333">
        <v>38</v>
      </c>
      <c r="F60" s="333">
        <v>837483.61275517603</v>
      </c>
    </row>
    <row r="61" spans="1:6">
      <c r="A61" s="1194" t="s">
        <v>49</v>
      </c>
      <c r="B61" s="1194" t="s">
        <v>54</v>
      </c>
      <c r="C61" s="333">
        <v>96</v>
      </c>
      <c r="D61" s="333">
        <v>7137793.9043720998</v>
      </c>
      <c r="E61" s="333">
        <v>215</v>
      </c>
      <c r="F61" s="333">
        <v>5342196.1930541201</v>
      </c>
    </row>
    <row r="62" spans="1:6">
      <c r="A62" s="1194" t="s">
        <v>49</v>
      </c>
      <c r="B62" s="1194" t="s">
        <v>55</v>
      </c>
      <c r="C62" s="333">
        <v>12</v>
      </c>
      <c r="D62" s="333">
        <v>5615278.5981439399</v>
      </c>
      <c r="E62" s="333">
        <v>13</v>
      </c>
      <c r="F62" s="333">
        <v>1663872.6700486401</v>
      </c>
    </row>
    <row r="63" spans="1:6">
      <c r="A63" s="1194" t="s">
        <v>49</v>
      </c>
      <c r="B63" s="1194" t="s">
        <v>29</v>
      </c>
      <c r="C63" s="333">
        <v>91</v>
      </c>
      <c r="D63" s="333">
        <v>4655832.8493659999</v>
      </c>
      <c r="E63" s="333">
        <v>105</v>
      </c>
      <c r="F63" s="333">
        <v>3072791.3458318301</v>
      </c>
    </row>
    <row r="64" spans="1:6">
      <c r="A64" s="1194" t="s">
        <v>56</v>
      </c>
      <c r="B64" s="1194" t="s">
        <v>57</v>
      </c>
      <c r="C64" s="333">
        <v>0</v>
      </c>
      <c r="D64" s="333">
        <v>0</v>
      </c>
      <c r="E64" s="333">
        <v>0</v>
      </c>
      <c r="F64" s="333">
        <v>0</v>
      </c>
    </row>
    <row r="65" spans="1:6">
      <c r="A65" s="1194" t="s">
        <v>56</v>
      </c>
      <c r="B65" s="1194" t="s">
        <v>29</v>
      </c>
      <c r="C65" s="333">
        <v>3</v>
      </c>
      <c r="D65" s="333">
        <v>14185.779362747</v>
      </c>
      <c r="E65" s="333">
        <v>2</v>
      </c>
      <c r="F65" s="333">
        <v>6024.2766035613004</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11</v>
      </c>
      <c r="F68" s="333">
        <v>434606.72595946601</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49163126</v>
      </c>
      <c r="E73" s="333">
        <v>36234949.9774727</v>
      </c>
      <c r="F73" s="333">
        <v>43278354</v>
      </c>
    </row>
    <row r="74" spans="1:6">
      <c r="A74" s="1194" t="s">
        <v>64</v>
      </c>
      <c r="B74" s="1194" t="s">
        <v>775</v>
      </c>
      <c r="C74" s="1205" t="s">
        <v>776</v>
      </c>
      <c r="D74" s="333">
        <v>4327012.6302974159</v>
      </c>
      <c r="E74" s="333">
        <v>3290797.7016824908</v>
      </c>
      <c r="F74" s="333">
        <v>3891881.9685257105</v>
      </c>
    </row>
    <row r="75" spans="1:6">
      <c r="A75" s="1194" t="s">
        <v>65</v>
      </c>
      <c r="B75" s="1194" t="s">
        <v>773</v>
      </c>
      <c r="C75" s="1205" t="s">
        <v>777</v>
      </c>
      <c r="D75" s="333">
        <v>11779466</v>
      </c>
      <c r="E75" s="333">
        <v>8392855.010643594</v>
      </c>
      <c r="F75" s="333">
        <v>10424372</v>
      </c>
    </row>
    <row r="76" spans="1:6">
      <c r="A76" s="1194" t="s">
        <v>65</v>
      </c>
      <c r="B76" s="1194" t="s">
        <v>775</v>
      </c>
      <c r="C76" s="1205" t="s">
        <v>778</v>
      </c>
      <c r="D76" s="333">
        <v>840483.63029741542</v>
      </c>
      <c r="E76" s="333">
        <v>553501.43491449161</v>
      </c>
      <c r="F76" s="333">
        <v>759678.96852571028</v>
      </c>
    </row>
    <row r="77" spans="1:6">
      <c r="A77" s="1194" t="s">
        <v>66</v>
      </c>
      <c r="B77" s="1194" t="s">
        <v>773</v>
      </c>
      <c r="C77" s="1205" t="s">
        <v>779</v>
      </c>
      <c r="D77" s="333">
        <v>185701224</v>
      </c>
      <c r="E77" s="333">
        <v>195389887.04291761</v>
      </c>
      <c r="F77" s="333">
        <v>201382874</v>
      </c>
    </row>
    <row r="78" spans="1:6">
      <c r="A78" s="1190" t="s">
        <v>66</v>
      </c>
      <c r="B78" s="1190" t="s">
        <v>775</v>
      </c>
      <c r="C78" s="1190" t="s">
        <v>780</v>
      </c>
      <c r="D78" s="1190">
        <v>21093654</v>
      </c>
      <c r="E78" s="1190">
        <v>23438687.542012043</v>
      </c>
      <c r="F78" s="336">
        <v>23840359</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317950.73940516909</v>
      </c>
      <c r="C83" s="333">
        <v>290488.61679277237</v>
      </c>
      <c r="D83" s="333">
        <v>286304.06294857932</v>
      </c>
    </row>
    <row r="84" spans="1:6">
      <c r="A84" s="1190" t="s">
        <v>338</v>
      </c>
      <c r="B84" s="336">
        <v>99821.972711241513</v>
      </c>
      <c r="C84" s="336">
        <v>102617.30588442668</v>
      </c>
      <c r="D84" s="336">
        <v>100069.35530881332</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11397.893748012835</v>
      </c>
    </row>
    <row r="91" spans="1:6">
      <c r="A91" s="1194" t="s">
        <v>68</v>
      </c>
      <c r="B91" s="333">
        <v>891.36915277879007</v>
      </c>
    </row>
    <row r="92" spans="1:6">
      <c r="A92" s="1190" t="s">
        <v>69</v>
      </c>
      <c r="B92" s="336">
        <v>594.06785839349595</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2031</v>
      </c>
    </row>
    <row r="98" spans="1:6">
      <c r="A98" s="1194" t="s">
        <v>72</v>
      </c>
      <c r="B98" s="333">
        <v>0</v>
      </c>
    </row>
    <row r="99" spans="1:6">
      <c r="A99" s="1194" t="s">
        <v>73</v>
      </c>
      <c r="B99" s="333">
        <v>23</v>
      </c>
    </row>
    <row r="100" spans="1:6">
      <c r="A100" s="1194" t="s">
        <v>74</v>
      </c>
      <c r="B100" s="333">
        <v>497</v>
      </c>
    </row>
    <row r="101" spans="1:6">
      <c r="A101" s="1194" t="s">
        <v>75</v>
      </c>
      <c r="B101" s="333">
        <v>48</v>
      </c>
    </row>
    <row r="102" spans="1:6">
      <c r="A102" s="1194" t="s">
        <v>76</v>
      </c>
      <c r="B102" s="333">
        <v>61</v>
      </c>
    </row>
    <row r="103" spans="1:6">
      <c r="A103" s="1194" t="s">
        <v>77</v>
      </c>
      <c r="B103" s="333">
        <v>100</v>
      </c>
    </row>
    <row r="104" spans="1:6">
      <c r="A104" s="1194" t="s">
        <v>78</v>
      </c>
      <c r="B104" s="333">
        <v>1227</v>
      </c>
    </row>
    <row r="105" spans="1:6">
      <c r="A105" s="1190" t="s">
        <v>79</v>
      </c>
      <c r="B105" s="1190">
        <v>2</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1</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3</v>
      </c>
      <c r="C123" s="333">
        <v>2</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36</v>
      </c>
    </row>
    <row r="130" spans="1:6">
      <c r="A130" s="1194" t="s">
        <v>296</v>
      </c>
      <c r="B130" s="333">
        <v>1</v>
      </c>
    </row>
    <row r="131" spans="1:6">
      <c r="A131" s="1194" t="s">
        <v>297</v>
      </c>
      <c r="B131" s="333">
        <v>1</v>
      </c>
    </row>
    <row r="132" spans="1:6">
      <c r="A132" s="1190" t="s">
        <v>298</v>
      </c>
      <c r="B132" s="336">
        <v>1</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44327.540156390074</v>
      </c>
      <c r="C3" s="43" t="s">
        <v>171</v>
      </c>
      <c r="D3" s="43"/>
      <c r="E3" s="156"/>
      <c r="F3" s="43"/>
      <c r="G3" s="43"/>
      <c r="H3" s="43"/>
      <c r="I3" s="43"/>
      <c r="J3" s="43"/>
      <c r="K3" s="96"/>
    </row>
    <row r="4" spans="1:11">
      <c r="A4" s="364" t="s">
        <v>172</v>
      </c>
      <c r="B4" s="49">
        <f>IF(ISERROR('SEAP template'!B69),0,'SEAP template'!B69)</f>
        <v>12883.330759185121</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0.15676868719232398</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835.72500000000002</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835.72500000000002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0.15676868719232398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131.01551110380495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20831.442046477499</v>
      </c>
      <c r="C5" s="17">
        <f>IF(ISERROR('Eigen informatie GS &amp; warmtenet'!B57),0,'Eigen informatie GS &amp; warmtenet'!B57)</f>
        <v>0</v>
      </c>
      <c r="D5" s="30">
        <f>(SUM(HH_hh_gas_kWh,HH_rest_gas_kWh)/1000)*0.902</f>
        <v>47742.93137674695</v>
      </c>
      <c r="E5" s="17">
        <f>B46*B57</f>
        <v>902.06020466542202</v>
      </c>
      <c r="F5" s="17">
        <f>B51*B62</f>
        <v>8708.1242281768318</v>
      </c>
      <c r="G5" s="18"/>
      <c r="H5" s="17"/>
      <c r="I5" s="17"/>
      <c r="J5" s="17">
        <f>B50*B61+C50*C61</f>
        <v>174.98489498098039</v>
      </c>
      <c r="K5" s="17"/>
      <c r="L5" s="17"/>
      <c r="M5" s="17"/>
      <c r="N5" s="17">
        <f>B48*B59+C48*C59</f>
        <v>5446.8927765312037</v>
      </c>
      <c r="O5" s="17">
        <f>B69*B70*B71</f>
        <v>59.406666666666666</v>
      </c>
      <c r="P5" s="17">
        <f>B77*B78*B79/1000-B77*B78*B79/1000/B80</f>
        <v>76.266666666666666</v>
      </c>
    </row>
    <row r="6" spans="1:16">
      <c r="A6" s="16" t="s">
        <v>633</v>
      </c>
      <c r="B6" s="830">
        <f>kWh_PV_kleiner_dan_10kW</f>
        <v>891.36915277879007</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21722.811199256288</v>
      </c>
      <c r="C8" s="21">
        <f>C5</f>
        <v>0</v>
      </c>
      <c r="D8" s="21">
        <f>D5</f>
        <v>47742.93137674695</v>
      </c>
      <c r="E8" s="21">
        <f>E5</f>
        <v>902.06020466542202</v>
      </c>
      <c r="F8" s="21">
        <f>F5</f>
        <v>8708.1242281768318</v>
      </c>
      <c r="G8" s="21"/>
      <c r="H8" s="21"/>
      <c r="I8" s="21"/>
      <c r="J8" s="21">
        <f>J5</f>
        <v>174.98489498098039</v>
      </c>
      <c r="K8" s="21"/>
      <c r="L8" s="21">
        <f>L5</f>
        <v>0</v>
      </c>
      <c r="M8" s="21">
        <f>M5</f>
        <v>0</v>
      </c>
      <c r="N8" s="21">
        <f>N5</f>
        <v>5446.8927765312037</v>
      </c>
      <c r="O8" s="21">
        <f>O5</f>
        <v>59.406666666666666</v>
      </c>
      <c r="P8" s="21">
        <f>P5</f>
        <v>76.266666666666666</v>
      </c>
    </row>
    <row r="9" spans="1:16">
      <c r="B9" s="19"/>
      <c r="C9" s="19"/>
      <c r="D9" s="260"/>
      <c r="E9" s="19"/>
      <c r="F9" s="19"/>
      <c r="G9" s="19"/>
      <c r="H9" s="19"/>
      <c r="I9" s="19"/>
      <c r="J9" s="19"/>
      <c r="K9" s="19"/>
      <c r="L9" s="19"/>
      <c r="M9" s="19"/>
      <c r="N9" s="19"/>
      <c r="O9" s="19"/>
      <c r="P9" s="19"/>
    </row>
    <row r="10" spans="1:16">
      <c r="A10" s="24" t="s">
        <v>215</v>
      </c>
      <c r="B10" s="25">
        <f ca="1">'EF ele_warmte'!B12</f>
        <v>0.15676868719232398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3405.4565938341211</v>
      </c>
      <c r="C12" s="23">
        <f ca="1">C10*C8</f>
        <v>0</v>
      </c>
      <c r="D12" s="23">
        <f>D8*D10</f>
        <v>9644.0721381028852</v>
      </c>
      <c r="E12" s="23">
        <f>E10*E8</f>
        <v>204.76766645905082</v>
      </c>
      <c r="F12" s="23">
        <f>F10*F8</f>
        <v>2325.0691689232144</v>
      </c>
      <c r="G12" s="23"/>
      <c r="H12" s="23"/>
      <c r="I12" s="23"/>
      <c r="J12" s="23">
        <f>J10*J8</f>
        <v>61.944652823267056</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2031</v>
      </c>
      <c r="C18" s="167" t="s">
        <v>111</v>
      </c>
      <c r="D18" s="229"/>
      <c r="E18" s="15"/>
    </row>
    <row r="19" spans="1:7">
      <c r="A19" s="172" t="s">
        <v>72</v>
      </c>
      <c r="B19" s="37">
        <f>aantalw2001_ander</f>
        <v>0</v>
      </c>
      <c r="C19" s="167" t="s">
        <v>111</v>
      </c>
      <c r="D19" s="230"/>
      <c r="E19" s="15"/>
    </row>
    <row r="20" spans="1:7">
      <c r="A20" s="172" t="s">
        <v>73</v>
      </c>
      <c r="B20" s="37">
        <f>aantalw2001_propaan</f>
        <v>23</v>
      </c>
      <c r="C20" s="168">
        <f>IF(ISERROR(B20/SUM($B$20,$B$21,$B$22)*100),0,B20/SUM($B$20,$B$21,$B$22)*100)</f>
        <v>4.0492957746478879</v>
      </c>
      <c r="D20" s="230"/>
      <c r="E20" s="15"/>
    </row>
    <row r="21" spans="1:7">
      <c r="A21" s="172" t="s">
        <v>74</v>
      </c>
      <c r="B21" s="37">
        <f>aantalw2001_elektriciteit</f>
        <v>497</v>
      </c>
      <c r="C21" s="168">
        <f>IF(ISERROR(B21/SUM($B$20,$B$21,$B$22)*100),0,B21/SUM($B$20,$B$21,$B$22)*100)</f>
        <v>87.5</v>
      </c>
      <c r="D21" s="230"/>
      <c r="E21" s="15"/>
    </row>
    <row r="22" spans="1:7">
      <c r="A22" s="172" t="s">
        <v>75</v>
      </c>
      <c r="B22" s="37">
        <f>aantalw2001_hout</f>
        <v>48</v>
      </c>
      <c r="C22" s="168">
        <f>IF(ISERROR(B22/SUM($B$20,$B$21,$B$22)*100),0,B22/SUM($B$20,$B$21,$B$22)*100)</f>
        <v>8.4507042253521121</v>
      </c>
      <c r="D22" s="230"/>
      <c r="E22" s="15"/>
    </row>
    <row r="23" spans="1:7">
      <c r="A23" s="172" t="s">
        <v>76</v>
      </c>
      <c r="B23" s="37">
        <f>aantalw2001_niet_gespec</f>
        <v>61</v>
      </c>
      <c r="C23" s="167" t="s">
        <v>111</v>
      </c>
      <c r="D23" s="229"/>
      <c r="E23" s="15"/>
    </row>
    <row r="24" spans="1:7">
      <c r="A24" s="172" t="s">
        <v>77</v>
      </c>
      <c r="B24" s="37">
        <f>aantalw2001_steenkool</f>
        <v>100</v>
      </c>
      <c r="C24" s="167" t="s">
        <v>111</v>
      </c>
      <c r="D24" s="230"/>
      <c r="E24" s="15"/>
    </row>
    <row r="25" spans="1:7">
      <c r="A25" s="172" t="s">
        <v>78</v>
      </c>
      <c r="B25" s="37">
        <f>aantalw2001_stookolie</f>
        <v>1227</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713</v>
      </c>
      <c r="B28" s="37">
        <f>aantalHuishoudens2011</f>
        <v>4445</v>
      </c>
      <c r="C28" s="36"/>
      <c r="D28" s="229"/>
    </row>
    <row r="29" spans="1:7" s="15" customFormat="1">
      <c r="A29" s="231" t="s">
        <v>714</v>
      </c>
      <c r="B29" s="37">
        <f>SUM(HH_hh_gas_aantal,HH_rest_gas_aantal)</f>
        <v>2970</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2970</v>
      </c>
      <c r="C32" s="168">
        <f>IF(ISERROR(B32/SUM($B$32,$B$34,$B$35,$B$36,$B$38,$B$39)*100),0,B32/SUM($B$32,$B$34,$B$35,$B$36,$B$38,$B$39)*100)</f>
        <v>66.876829542895749</v>
      </c>
      <c r="D32" s="234"/>
      <c r="G32" s="15"/>
    </row>
    <row r="33" spans="1:7">
      <c r="A33" s="172" t="s">
        <v>72</v>
      </c>
      <c r="B33" s="34" t="s">
        <v>111</v>
      </c>
      <c r="C33" s="168"/>
      <c r="D33" s="234"/>
      <c r="G33" s="15"/>
    </row>
    <row r="34" spans="1:7">
      <c r="A34" s="172" t="s">
        <v>73</v>
      </c>
      <c r="B34" s="33">
        <f>IF((($B$28-$B$32-$B$39-$B$77-$B$38)*C20/100)&lt;0,0,($B$28-$B$32-$B$39-$B$77-$B$38)*C20/100)</f>
        <v>43.853873239436624</v>
      </c>
      <c r="C34" s="168">
        <f>IF(ISERROR(B34/SUM($B$32,$B$34,$B$35,$B$36,$B$38,$B$39)*100),0,B34/SUM($B$32,$B$34,$B$35,$B$36,$B$38,$B$39)*100)</f>
        <v>0.98747744290557593</v>
      </c>
      <c r="D34" s="234"/>
      <c r="G34" s="15"/>
    </row>
    <row r="35" spans="1:7">
      <c r="A35" s="172" t="s">
        <v>74</v>
      </c>
      <c r="B35" s="33">
        <f>IF((($B$28-$B$32-$B$39-$B$77-$B$38)*C21/100)&lt;0,0,($B$28-$B$32-$B$39-$B$77-$B$38)*C21/100)</f>
        <v>947.625</v>
      </c>
      <c r="C35" s="168">
        <f>IF(ISERROR(B35/SUM($B$32,$B$34,$B$35,$B$36,$B$38,$B$39)*100),0,B35/SUM($B$32,$B$34,$B$35,$B$36,$B$38,$B$39)*100)</f>
        <v>21.338099527133529</v>
      </c>
      <c r="D35" s="234"/>
      <c r="G35" s="15"/>
    </row>
    <row r="36" spans="1:7">
      <c r="A36" s="172" t="s">
        <v>75</v>
      </c>
      <c r="B36" s="33">
        <f>IF((($B$28-$B$32-$B$39-$B$77-$B$38)*C22/100)&lt;0,0,($B$28-$B$32-$B$39-$B$77-$B$38)*C22/100)</f>
        <v>91.521126760563362</v>
      </c>
      <c r="C36" s="168">
        <f>IF(ISERROR(B36/SUM($B$32,$B$34,$B$35,$B$36,$B$38,$B$39)*100),0,B36/SUM($B$32,$B$34,$B$35,$B$36,$B$38,$B$39)*100)</f>
        <v>2.0608224895420708</v>
      </c>
      <c r="D36" s="234"/>
      <c r="G36" s="15"/>
    </row>
    <row r="37" spans="1:7">
      <c r="A37" s="172" t="s">
        <v>76</v>
      </c>
      <c r="B37" s="34" t="s">
        <v>111</v>
      </c>
      <c r="C37" s="168"/>
      <c r="D37" s="174"/>
      <c r="G37" s="15"/>
    </row>
    <row r="38" spans="1:7">
      <c r="A38" s="172" t="s">
        <v>77</v>
      </c>
      <c r="B38" s="33">
        <f>IF((B24-(B29-B18)*0.1)&lt;0,0,B24-(B29-B18)*0.1)</f>
        <v>6.0999999999999943</v>
      </c>
      <c r="C38" s="168">
        <f>IF(ISERROR(B38/SUM($B$32,$B$34,$B$35,$B$36,$B$38,$B$39)*100),0,B38/SUM($B$32,$B$34,$B$35,$B$36,$B$38,$B$39)*100)</f>
        <v>0.1373564512497184</v>
      </c>
      <c r="D38" s="235"/>
      <c r="G38" s="15"/>
    </row>
    <row r="39" spans="1:7">
      <c r="A39" s="172" t="s">
        <v>78</v>
      </c>
      <c r="B39" s="33">
        <f>IF((B25-(B29-B18))&lt;0,0,B25-(B29-B18)*0.9)</f>
        <v>381.9</v>
      </c>
      <c r="C39" s="168">
        <f>IF(ISERROR(B39/SUM($B$32,$B$34,$B$35,$B$36,$B$38,$B$39)*100),0,B39/SUM($B$32,$B$34,$B$35,$B$36,$B$38,$B$39)*100)</f>
        <v>8.5994145462733602</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2970</v>
      </c>
      <c r="C44" s="34" t="s">
        <v>111</v>
      </c>
      <c r="D44" s="175"/>
    </row>
    <row r="45" spans="1:7">
      <c r="A45" s="172" t="s">
        <v>72</v>
      </c>
      <c r="B45" s="33" t="str">
        <f t="shared" si="0"/>
        <v>-</v>
      </c>
      <c r="C45" s="34" t="s">
        <v>111</v>
      </c>
      <c r="D45" s="175"/>
    </row>
    <row r="46" spans="1:7">
      <c r="A46" s="172" t="s">
        <v>73</v>
      </c>
      <c r="B46" s="33">
        <f t="shared" si="0"/>
        <v>43.853873239436624</v>
      </c>
      <c r="C46" s="34" t="s">
        <v>111</v>
      </c>
      <c r="D46" s="175"/>
    </row>
    <row r="47" spans="1:7">
      <c r="A47" s="172" t="s">
        <v>74</v>
      </c>
      <c r="B47" s="33">
        <f t="shared" si="0"/>
        <v>947.625</v>
      </c>
      <c r="C47" s="34" t="s">
        <v>111</v>
      </c>
      <c r="D47" s="175"/>
    </row>
    <row r="48" spans="1:7">
      <c r="A48" s="172" t="s">
        <v>75</v>
      </c>
      <c r="B48" s="33">
        <f t="shared" si="0"/>
        <v>91.521126760563362</v>
      </c>
      <c r="C48" s="33">
        <f>B48*10</f>
        <v>915.21126760563357</v>
      </c>
      <c r="D48" s="235"/>
    </row>
    <row r="49" spans="1:6">
      <c r="A49" s="172" t="s">
        <v>76</v>
      </c>
      <c r="B49" s="33" t="str">
        <f t="shared" si="0"/>
        <v>-</v>
      </c>
      <c r="C49" s="34" t="s">
        <v>111</v>
      </c>
      <c r="D49" s="235"/>
    </row>
    <row r="50" spans="1:6">
      <c r="A50" s="172" t="s">
        <v>77</v>
      </c>
      <c r="B50" s="33">
        <f t="shared" si="0"/>
        <v>6.0999999999999943</v>
      </c>
      <c r="C50" s="33">
        <f>B50*2</f>
        <v>12.199999999999989</v>
      </c>
      <c r="D50" s="235"/>
    </row>
    <row r="51" spans="1:6">
      <c r="A51" s="172" t="s">
        <v>78</v>
      </c>
      <c r="B51" s="33">
        <f t="shared" si="0"/>
        <v>381.9</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38</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4</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15740.165942566451</v>
      </c>
      <c r="C5" s="17">
        <f>IF(ISERROR('Eigen informatie GS &amp; warmtenet'!B58),0,'Eigen informatie GS &amp; warmtenet'!B58)</f>
        <v>0</v>
      </c>
      <c r="D5" s="30">
        <f>SUM(D6:D12)</f>
        <v>22103.982706840747</v>
      </c>
      <c r="E5" s="17">
        <f>SUM(E6:E12)</f>
        <v>324.10459448528451</v>
      </c>
      <c r="F5" s="17">
        <f>SUM(F6:F12)</f>
        <v>3685.0710138469599</v>
      </c>
      <c r="G5" s="18"/>
      <c r="H5" s="17"/>
      <c r="I5" s="17"/>
      <c r="J5" s="17">
        <f>SUM(J6:J12)</f>
        <v>0</v>
      </c>
      <c r="K5" s="17"/>
      <c r="L5" s="17"/>
      <c r="M5" s="17"/>
      <c r="N5" s="17">
        <f>SUM(N6:N12)</f>
        <v>379.56400769044922</v>
      </c>
      <c r="O5" s="17">
        <f>B38*B39*B40</f>
        <v>1.5633333333333335</v>
      </c>
      <c r="P5" s="17">
        <f>B46*B47*B48/1000-B46*B47*B48/1000/B49</f>
        <v>19.066666666666666</v>
      </c>
      <c r="R5" s="32"/>
    </row>
    <row r="6" spans="1:18">
      <c r="A6" s="32" t="s">
        <v>54</v>
      </c>
      <c r="B6" s="37">
        <f>B26</f>
        <v>5342.1961930541202</v>
      </c>
      <c r="C6" s="33"/>
      <c r="D6" s="37">
        <f>IF(ISERROR(TER_kantoor_gas_kWh/1000),0,TER_kantoor_gas_kWh/1000)*0.902</f>
        <v>6438.2901017436343</v>
      </c>
      <c r="E6" s="33">
        <f>$C$26*'E Balans VL '!I12/100/3.6*1000000</f>
        <v>186.99788160319346</v>
      </c>
      <c r="F6" s="33">
        <f>$C$26*('E Balans VL '!L12+'E Balans VL '!N12)/100/3.6*1000000</f>
        <v>809.99163869535346</v>
      </c>
      <c r="G6" s="34"/>
      <c r="H6" s="33"/>
      <c r="I6" s="33"/>
      <c r="J6" s="33">
        <f>$C$26*('E Balans VL '!D12+'E Balans VL '!E12)/100/3.6*1000000</f>
        <v>0</v>
      </c>
      <c r="K6" s="33"/>
      <c r="L6" s="33"/>
      <c r="M6" s="33"/>
      <c r="N6" s="33">
        <f>$C$26*'E Balans VL '!Y12/100/3.6*1000000</f>
        <v>41.293504510917117</v>
      </c>
      <c r="O6" s="33"/>
      <c r="P6" s="33"/>
      <c r="R6" s="32"/>
    </row>
    <row r="7" spans="1:18">
      <c r="A7" s="32" t="s">
        <v>53</v>
      </c>
      <c r="B7" s="37">
        <f t="shared" ref="B7:B12" si="0">B27</f>
        <v>837.48361275517607</v>
      </c>
      <c r="C7" s="33"/>
      <c r="D7" s="37">
        <f>IF(ISERROR(TER_horeca_gas_kWh/1000),0,TER_horeca_gas_kWh/1000)*0.902</f>
        <v>1039.5771922029294</v>
      </c>
      <c r="E7" s="33">
        <f>$C$27*'E Balans VL '!I9/100/3.6*1000000</f>
        <v>47.245211579409869</v>
      </c>
      <c r="F7" s="33">
        <f>$C$27*('E Balans VL '!L9+'E Balans VL '!N9)/100/3.6*1000000</f>
        <v>145.89428003577129</v>
      </c>
      <c r="G7" s="34"/>
      <c r="H7" s="33"/>
      <c r="I7" s="33"/>
      <c r="J7" s="33">
        <f>$C$27*('E Balans VL '!D9+'E Balans VL '!E9)/100/3.6*1000000</f>
        <v>0</v>
      </c>
      <c r="K7" s="33"/>
      <c r="L7" s="33"/>
      <c r="M7" s="33"/>
      <c r="N7" s="33">
        <f>$C$27*'E Balans VL '!Y9/100/3.6*1000000</f>
        <v>0</v>
      </c>
      <c r="O7" s="33"/>
      <c r="P7" s="33"/>
      <c r="R7" s="32"/>
    </row>
    <row r="8" spans="1:18">
      <c r="A8" s="6" t="s">
        <v>52</v>
      </c>
      <c r="B8" s="37">
        <f t="shared" si="0"/>
        <v>3135.3908852183399</v>
      </c>
      <c r="C8" s="33"/>
      <c r="D8" s="37">
        <f>IF(ISERROR(TER_handel_gas_kWh/1000),0,TER_handel_gas_kWh/1000)*0.902</f>
        <v>1739.860753957618</v>
      </c>
      <c r="E8" s="33">
        <f>$C$28*'E Balans VL '!I13/100/3.6*1000000</f>
        <v>16.096778253617082</v>
      </c>
      <c r="F8" s="33">
        <f>$C$28*('E Balans VL '!L13+'E Balans VL '!N13)/100/3.6*1000000</f>
        <v>483.42882773821407</v>
      </c>
      <c r="G8" s="34"/>
      <c r="H8" s="33"/>
      <c r="I8" s="33"/>
      <c r="J8" s="33">
        <f>$C$28*('E Balans VL '!D13+'E Balans VL '!E13)/100/3.6*1000000</f>
        <v>0</v>
      </c>
      <c r="K8" s="33"/>
      <c r="L8" s="33"/>
      <c r="M8" s="33"/>
      <c r="N8" s="33">
        <f>$C$28*'E Balans VL '!Y13/100/3.6*1000000</f>
        <v>1.4664605896140066</v>
      </c>
      <c r="O8" s="33"/>
      <c r="P8" s="33"/>
      <c r="R8" s="32"/>
    </row>
    <row r="9" spans="1:18">
      <c r="A9" s="32" t="s">
        <v>51</v>
      </c>
      <c r="B9" s="37">
        <f t="shared" si="0"/>
        <v>650.92902928380295</v>
      </c>
      <c r="C9" s="33"/>
      <c r="D9" s="37">
        <f>IF(ISERROR(TER_gezond_gas_kWh/1000),0,TER_gezond_gas_kWh/1000)*0.902</f>
        <v>3359.2556353871623</v>
      </c>
      <c r="E9" s="33">
        <f>$C$29*'E Balans VL '!I10/100/3.6*1000000</f>
        <v>0.26980544688773411</v>
      </c>
      <c r="F9" s="33">
        <f>$C$29*('E Balans VL '!L10+'E Balans VL '!N10)/100/3.6*1000000</f>
        <v>160.31448434502582</v>
      </c>
      <c r="G9" s="34"/>
      <c r="H9" s="33"/>
      <c r="I9" s="33"/>
      <c r="J9" s="33">
        <f>$C$29*('E Balans VL '!D10+'E Balans VL '!E10)/100/3.6*1000000</f>
        <v>0</v>
      </c>
      <c r="K9" s="33"/>
      <c r="L9" s="33"/>
      <c r="M9" s="33"/>
      <c r="N9" s="33">
        <f>$C$29*'E Balans VL '!Y10/100/3.6*1000000</f>
        <v>5.6256379438023734</v>
      </c>
      <c r="O9" s="33"/>
      <c r="P9" s="33"/>
      <c r="R9" s="32"/>
    </row>
    <row r="10" spans="1:18">
      <c r="A10" s="32" t="s">
        <v>50</v>
      </c>
      <c r="B10" s="37">
        <f t="shared" si="0"/>
        <v>1037.50220637454</v>
      </c>
      <c r="C10" s="33"/>
      <c r="D10" s="37">
        <f>IF(ISERROR(TER_ander_gas_kWh/1000),0,TER_ander_gas_kWh/1000)*0.902</f>
        <v>262.4564978954345</v>
      </c>
      <c r="E10" s="33">
        <f>$C$30*'E Balans VL '!I14/100/3.6*1000000</f>
        <v>6.3246390480372385</v>
      </c>
      <c r="F10" s="33">
        <f>$C$30*('E Balans VL '!L14+'E Balans VL '!N14)/100/3.6*1000000</f>
        <v>275.05604707796164</v>
      </c>
      <c r="G10" s="34"/>
      <c r="H10" s="33"/>
      <c r="I10" s="33"/>
      <c r="J10" s="33">
        <f>$C$30*('E Balans VL '!D14+'E Balans VL '!E14)/100/3.6*1000000</f>
        <v>0</v>
      </c>
      <c r="K10" s="33"/>
      <c r="L10" s="33"/>
      <c r="M10" s="33"/>
      <c r="N10" s="33">
        <f>$C$30*'E Balans VL '!Y14/100/3.6*1000000</f>
        <v>239.12183979676794</v>
      </c>
      <c r="O10" s="33"/>
      <c r="P10" s="33"/>
      <c r="R10" s="32"/>
    </row>
    <row r="11" spans="1:18">
      <c r="A11" s="32" t="s">
        <v>55</v>
      </c>
      <c r="B11" s="37">
        <f t="shared" si="0"/>
        <v>1663.8726700486402</v>
      </c>
      <c r="C11" s="33"/>
      <c r="D11" s="37">
        <f>IF(ISERROR(TER_onderwijs_gas_kWh/1000),0,TER_onderwijs_gas_kWh/1000)*0.902</f>
        <v>5064.981295525834</v>
      </c>
      <c r="E11" s="33">
        <f>$C$31*'E Balans VL '!I11/100/3.6*1000000</f>
        <v>1.2679576133422741</v>
      </c>
      <c r="F11" s="33">
        <f>$C$31*('E Balans VL '!L11+'E Balans VL '!N11)/100/3.6*1000000</f>
        <v>1204.0694480634836</v>
      </c>
      <c r="G11" s="34"/>
      <c r="H11" s="33"/>
      <c r="I11" s="33"/>
      <c r="J11" s="33">
        <f>$C$31*('E Balans VL '!D11+'E Balans VL '!E11)/100/3.6*1000000</f>
        <v>0</v>
      </c>
      <c r="K11" s="33"/>
      <c r="L11" s="33"/>
      <c r="M11" s="33"/>
      <c r="N11" s="33">
        <f>$C$31*'E Balans VL '!Y11/100/3.6*1000000</f>
        <v>4.9038304169553681</v>
      </c>
      <c r="O11" s="33"/>
      <c r="P11" s="33"/>
      <c r="R11" s="32"/>
    </row>
    <row r="12" spans="1:18">
      <c r="A12" s="32" t="s">
        <v>261</v>
      </c>
      <c r="B12" s="37">
        <f t="shared" si="0"/>
        <v>3072.7913458318299</v>
      </c>
      <c r="C12" s="33"/>
      <c r="D12" s="37">
        <f>IF(ISERROR(TER_rest_gas_kWh/1000),0,TER_rest_gas_kWh/1000)*0.902</f>
        <v>4199.5612301281326</v>
      </c>
      <c r="E12" s="33">
        <f>$C$32*'E Balans VL '!I8/100/3.6*1000000</f>
        <v>65.902320940796812</v>
      </c>
      <c r="F12" s="33">
        <f>$C$32*('E Balans VL '!L8+'E Balans VL '!N8)/100/3.6*1000000</f>
        <v>606.31628789114984</v>
      </c>
      <c r="G12" s="34"/>
      <c r="H12" s="33"/>
      <c r="I12" s="33"/>
      <c r="J12" s="33">
        <f>$C$32*('E Balans VL '!D8+'E Balans VL '!E8)/100/3.6*1000000</f>
        <v>0</v>
      </c>
      <c r="K12" s="33"/>
      <c r="L12" s="33"/>
      <c r="M12" s="33"/>
      <c r="N12" s="33">
        <f>$C$32*'E Balans VL '!Y8/100/3.6*1000000</f>
        <v>87.152734432392364</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15740.165942566451</v>
      </c>
      <c r="C16" s="21">
        <f ca="1">C5+C13+C14</f>
        <v>0</v>
      </c>
      <c r="D16" s="21">
        <f t="shared" ref="D16:N16" ca="1" si="1">MAX((D5+D13+D14),0)</f>
        <v>22103.982706840747</v>
      </c>
      <c r="E16" s="21">
        <f t="shared" si="1"/>
        <v>324.10459448528451</v>
      </c>
      <c r="F16" s="21">
        <f t="shared" ca="1" si="1"/>
        <v>3685.0710138469599</v>
      </c>
      <c r="G16" s="21">
        <f t="shared" si="1"/>
        <v>0</v>
      </c>
      <c r="H16" s="21">
        <f t="shared" si="1"/>
        <v>0</v>
      </c>
      <c r="I16" s="21">
        <f t="shared" si="1"/>
        <v>0</v>
      </c>
      <c r="J16" s="21">
        <f t="shared" si="1"/>
        <v>0</v>
      </c>
      <c r="K16" s="21">
        <f t="shared" si="1"/>
        <v>0</v>
      </c>
      <c r="L16" s="21">
        <f t="shared" ca="1" si="1"/>
        <v>0</v>
      </c>
      <c r="M16" s="21">
        <f t="shared" si="1"/>
        <v>0</v>
      </c>
      <c r="N16" s="21">
        <f t="shared" ca="1" si="1"/>
        <v>379.56400769044922</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0.15676868719232398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2467.5651510054713</v>
      </c>
      <c r="C20" s="23">
        <f t="shared" ref="C20:P20" ca="1" si="2">C16*C18</f>
        <v>0</v>
      </c>
      <c r="D20" s="23">
        <f t="shared" ca="1" si="2"/>
        <v>4465.004506781831</v>
      </c>
      <c r="E20" s="23">
        <f t="shared" si="2"/>
        <v>73.571742948159581</v>
      </c>
      <c r="F20" s="23">
        <f t="shared" ca="1" si="2"/>
        <v>983.91396069713835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5342.1961930541202</v>
      </c>
      <c r="C26" s="39">
        <f>IF(ISERROR(B26*3.6/1000000/'E Balans VL '!Z12*100),0,B26*3.6/1000000/'E Balans VL '!Z12*100)</f>
        <v>0.11241765951730362</v>
      </c>
      <c r="D26" s="238" t="s">
        <v>720</v>
      </c>
      <c r="F26" s="6"/>
    </row>
    <row r="27" spans="1:18">
      <c r="A27" s="232" t="s">
        <v>53</v>
      </c>
      <c r="B27" s="33">
        <f>IF(ISERROR(TER_horeca_ele_kWh/1000),0,TER_horeca_ele_kWh/1000)</f>
        <v>837.48361275517607</v>
      </c>
      <c r="C27" s="39">
        <f>IF(ISERROR(B27*3.6/1000000/'E Balans VL '!Z9*100),0,B27*3.6/1000000/'E Balans VL '!Z9*100)</f>
        <v>7.0907384184822009E-2</v>
      </c>
      <c r="D27" s="238" t="s">
        <v>720</v>
      </c>
      <c r="F27" s="6"/>
    </row>
    <row r="28" spans="1:18">
      <c r="A28" s="172" t="s">
        <v>52</v>
      </c>
      <c r="B28" s="33">
        <f>IF(ISERROR(TER_handel_ele_kWh/1000),0,TER_handel_ele_kWh/1000)</f>
        <v>3135.3908852183399</v>
      </c>
      <c r="C28" s="39">
        <f>IF(ISERROR(B28*3.6/1000000/'E Balans VL '!Z13*100),0,B28*3.6/1000000/'E Balans VL '!Z13*100)</f>
        <v>8.6802863098410205E-2</v>
      </c>
      <c r="D28" s="238" t="s">
        <v>720</v>
      </c>
      <c r="F28" s="6"/>
    </row>
    <row r="29" spans="1:18">
      <c r="A29" s="232" t="s">
        <v>51</v>
      </c>
      <c r="B29" s="33">
        <f>IF(ISERROR(TER_gezond_ele_kWh/1000),0,TER_gezond_ele_kWh/1000)</f>
        <v>650.92902928380295</v>
      </c>
      <c r="C29" s="39">
        <f>IF(ISERROR(B29*3.6/1000000/'E Balans VL '!Z10*100),0,B29*3.6/1000000/'E Balans VL '!Z10*100)</f>
        <v>8.4613557417247937E-2</v>
      </c>
      <c r="D29" s="238" t="s">
        <v>720</v>
      </c>
      <c r="F29" s="6"/>
    </row>
    <row r="30" spans="1:18">
      <c r="A30" s="232" t="s">
        <v>50</v>
      </c>
      <c r="B30" s="33">
        <f>IF(ISERROR(TER_ander_ele_kWh/1000),0,TER_ander_ele_kWh/1000)</f>
        <v>1037.50220637454</v>
      </c>
      <c r="C30" s="39">
        <f>IF(ISERROR(B30*3.6/1000000/'E Balans VL '!Z14*100),0,B30*3.6/1000000/'E Balans VL '!Z14*100)</f>
        <v>8.0415935616090978E-2</v>
      </c>
      <c r="D30" s="238" t="s">
        <v>720</v>
      </c>
      <c r="F30" s="6"/>
    </row>
    <row r="31" spans="1:18">
      <c r="A31" s="232" t="s">
        <v>55</v>
      </c>
      <c r="B31" s="33">
        <f>IF(ISERROR(TER_onderwijs_ele_kWh/1000),0,TER_onderwijs_ele_kWh/1000)</f>
        <v>1663.8726700486402</v>
      </c>
      <c r="C31" s="39">
        <f>IF(ISERROR(B31*3.6/1000000/'E Balans VL '!Z11*100),0,B31*3.6/1000000/'E Balans VL '!Z11*100)</f>
        <v>0.31832719357061784</v>
      </c>
      <c r="D31" s="238" t="s">
        <v>720</v>
      </c>
    </row>
    <row r="32" spans="1:18">
      <c r="A32" s="232" t="s">
        <v>261</v>
      </c>
      <c r="B32" s="33">
        <f>IF(ISERROR(TER_rest_ele_kWh/1000),0,TER_rest_ele_kWh/1000)</f>
        <v>3072.7913458318299</v>
      </c>
      <c r="C32" s="39">
        <f>IF(ISERROR(B32*3.6/1000000/'E Balans VL '!Z8*100),0,B32*3.6/1000000/'E Balans VL '!Z8*100)</f>
        <v>2.5337524290680504E-2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5303.8701102813893</v>
      </c>
      <c r="C5" s="17">
        <f>IF(ISERROR('Eigen informatie GS &amp; warmtenet'!B59),0,'Eigen informatie GS &amp; warmtenet'!B59)</f>
        <v>0</v>
      </c>
      <c r="D5" s="30">
        <f>SUM(D6:D15)</f>
        <v>2395.9508110863562</v>
      </c>
      <c r="E5" s="17">
        <f>SUM(E6:E15)</f>
        <v>55.455375794626889</v>
      </c>
      <c r="F5" s="17">
        <f>SUM(F6:F15)</f>
        <v>1616.1916081600043</v>
      </c>
      <c r="G5" s="18"/>
      <c r="H5" s="17"/>
      <c r="I5" s="17"/>
      <c r="J5" s="17">
        <f>SUM(J6:J15)</f>
        <v>28.549407357915012</v>
      </c>
      <c r="K5" s="17"/>
      <c r="L5" s="17"/>
      <c r="M5" s="17"/>
      <c r="N5" s="17">
        <f>SUM(N6:N15)</f>
        <v>149.16151029447286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973.15005848349506</v>
      </c>
      <c r="C9" s="33"/>
      <c r="D9" s="37">
        <f>IF( ISERROR(IND_andere_gas_kWh/1000),0,IND_andere_gas_kWh/1000)*0.902</f>
        <v>856.01040434050037</v>
      </c>
      <c r="E9" s="33">
        <f>C31*'E Balans VL '!I19/100/3.6*1000000</f>
        <v>16.345247379115072</v>
      </c>
      <c r="F9" s="33">
        <f>C31*'E Balans VL '!L19/100/3.6*1000000+C31*'E Balans VL '!N19/100/3.6*1000000</f>
        <v>760.75328923362679</v>
      </c>
      <c r="G9" s="34"/>
      <c r="H9" s="33"/>
      <c r="I9" s="33"/>
      <c r="J9" s="40">
        <f>C31*'E Balans VL '!D19/100/3.6*1000000+C31*'E Balans VL '!E19/100/3.6*1000000</f>
        <v>8.7769544905066221E-2</v>
      </c>
      <c r="K9" s="33"/>
      <c r="L9" s="33"/>
      <c r="M9" s="33"/>
      <c r="N9" s="33">
        <f>C31*'E Balans VL '!Y19/100/3.6*1000000</f>
        <v>72.126032151805504</v>
      </c>
      <c r="O9" s="33"/>
      <c r="P9" s="33"/>
      <c r="R9" s="32"/>
    </row>
    <row r="10" spans="1:18">
      <c r="A10" s="6" t="s">
        <v>41</v>
      </c>
      <c r="B10" s="37">
        <f t="shared" si="0"/>
        <v>267.19187108229397</v>
      </c>
      <c r="C10" s="33"/>
      <c r="D10" s="37">
        <f>IF( ISERROR(IND_voed_gas_kWh/1000),0,IND_voed_gas_kWh/1000)*0.902</f>
        <v>384.18113481115108</v>
      </c>
      <c r="E10" s="33">
        <f>C32*'E Balans VL '!I20/100/3.6*1000000</f>
        <v>2.4377476001781599</v>
      </c>
      <c r="F10" s="33">
        <f>C32*'E Balans VL '!L20/100/3.6*1000000+C32*'E Balans VL '!N20/100/3.6*1000000</f>
        <v>43.106406078216857</v>
      </c>
      <c r="G10" s="34"/>
      <c r="H10" s="33"/>
      <c r="I10" s="33"/>
      <c r="J10" s="40">
        <f>C32*'E Balans VL '!D20/100/3.6*1000000+C32*'E Balans VL '!E20/100/3.6*1000000</f>
        <v>1.1004713045871444</v>
      </c>
      <c r="K10" s="33"/>
      <c r="L10" s="33"/>
      <c r="M10" s="33"/>
      <c r="N10" s="33">
        <f>C32*'E Balans VL '!Y20/100/3.6*1000000</f>
        <v>3.9088063872304653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4063.5281807156002</v>
      </c>
      <c r="C15" s="33"/>
      <c r="D15" s="37">
        <f>IF( ISERROR(IND_rest_gas_kWh/1000),0,IND_rest_gas_kWh/1000)*0.902</f>
        <v>1155.7592719347049</v>
      </c>
      <c r="E15" s="33">
        <f>C37*'E Balans VL '!I15/100/3.6*1000000</f>
        <v>36.672380815333653</v>
      </c>
      <c r="F15" s="33">
        <f>C37*'E Balans VL '!L15/100/3.6*1000000+C37*'E Balans VL '!N15/100/3.6*1000000</f>
        <v>812.33191284816053</v>
      </c>
      <c r="G15" s="34"/>
      <c r="H15" s="33"/>
      <c r="I15" s="33"/>
      <c r="J15" s="40">
        <f>C37*'E Balans VL '!D15/100/3.6*1000000+C37*'E Balans VL '!E15/100/3.6*1000000</f>
        <v>27.361166508422802</v>
      </c>
      <c r="K15" s="33"/>
      <c r="L15" s="33"/>
      <c r="M15" s="33"/>
      <c r="N15" s="33">
        <f>C37*'E Balans VL '!Y15/100/3.6*1000000</f>
        <v>73.126671755436874</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5303.8701102813893</v>
      </c>
      <c r="C18" s="21">
        <f>C5+C16</f>
        <v>0</v>
      </c>
      <c r="D18" s="21">
        <f>MAX((D5+D16),0)</f>
        <v>2395.9508110863562</v>
      </c>
      <c r="E18" s="21">
        <f>MAX((E5+E16),0)</f>
        <v>55.455375794626889</v>
      </c>
      <c r="F18" s="21">
        <f>MAX((F5+F16),0)</f>
        <v>1616.1916081600043</v>
      </c>
      <c r="G18" s="21"/>
      <c r="H18" s="21"/>
      <c r="I18" s="21"/>
      <c r="J18" s="21">
        <f>MAX((J5+J16),0)</f>
        <v>28.549407357915012</v>
      </c>
      <c r="K18" s="21"/>
      <c r="L18" s="21">
        <f>MAX((L5+L16),0)</f>
        <v>0</v>
      </c>
      <c r="M18" s="21"/>
      <c r="N18" s="21">
        <f>MAX((N5+N16),0)</f>
        <v>149.16151029447286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0.15676868719232398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831.48075422741999</v>
      </c>
      <c r="C22" s="23">
        <f ca="1">C18*C20</f>
        <v>0</v>
      </c>
      <c r="D22" s="23">
        <f>D18*D20</f>
        <v>483.98206383944398</v>
      </c>
      <c r="E22" s="23">
        <f>E18*E20</f>
        <v>12.588370305380304</v>
      </c>
      <c r="F22" s="23">
        <f>F18*F20</f>
        <v>431.52315937872118</v>
      </c>
      <c r="G22" s="23"/>
      <c r="H22" s="23"/>
      <c r="I22" s="23"/>
      <c r="J22" s="23">
        <f>J18*J20</f>
        <v>10.106490204701913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973.15005848349506</v>
      </c>
      <c r="C31" s="39">
        <f>IF(ISERROR(B31*3.6/1000000/'E Balans VL '!Z19*100),0,B31*3.6/1000000/'E Balans VL '!Z19*100)</f>
        <v>4.3135885550612749E-2</v>
      </c>
      <c r="D31" s="238" t="s">
        <v>720</v>
      </c>
    </row>
    <row r="32" spans="1:18">
      <c r="A32" s="172" t="s">
        <v>41</v>
      </c>
      <c r="B32" s="37">
        <f>IF( ISERROR(IND_voed_ele_kWh/1000),0,IND_voed_ele_kWh/1000)</f>
        <v>267.19187108229397</v>
      </c>
      <c r="C32" s="39">
        <f>IF(ISERROR(B32*3.6/1000000/'E Balans VL '!Z20*100),0,B32*3.6/1000000/'E Balans VL '!Z20*100)</f>
        <v>8.9249749684255954E-3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4063.5281807156002</v>
      </c>
      <c r="C37" s="39">
        <f>IF(ISERROR(B37*3.6/1000000/'E Balans VL '!Z15*100),0,B37*3.6/1000000/'E Balans VL '!Z15*100)</f>
        <v>3.0226029610843298E-2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371.12623926768151</v>
      </c>
      <c r="C5" s="17">
        <f>'Eigen informatie GS &amp; warmtenet'!B60</f>
        <v>0</v>
      </c>
      <c r="D5" s="30">
        <f>IF(ISERROR(SUM(LB_lb_gas_kWh,LB_rest_gas_kWh,onbekend_gas_kWh)/1000),0,SUM(LB_lb_gas_kWh,LB_rest_gas_kWh,onbekend_gas_kWh)/1000)*0.902</f>
        <v>5596.3940831932705</v>
      </c>
      <c r="E5" s="17">
        <f>B17*'E Balans VL '!I25/3.6*1000000/100</f>
        <v>3.8865143231654899</v>
      </c>
      <c r="F5" s="17">
        <f>B17*('E Balans VL '!L25/3.6*1000000+'E Balans VL '!N25/3.6*1000000)/100</f>
        <v>1906.1634571824106</v>
      </c>
      <c r="G5" s="18"/>
      <c r="H5" s="17"/>
      <c r="I5" s="17"/>
      <c r="J5" s="17">
        <f>('E Balans VL '!D25+'E Balans VL '!E25)/3.6*1000000*landbouw!B17/100</f>
        <v>33.144899627834818</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371.12623926768151</v>
      </c>
      <c r="C8" s="21">
        <f>C5+C6</f>
        <v>0</v>
      </c>
      <c r="D8" s="21">
        <f>MAX((D5+D6),0)</f>
        <v>5596.3940831932705</v>
      </c>
      <c r="E8" s="21">
        <f>MAX((E5+E6),0)</f>
        <v>3.8865143231654899</v>
      </c>
      <c r="F8" s="21">
        <f>MAX((F5+F6),0)</f>
        <v>1906.1634571824106</v>
      </c>
      <c r="G8" s="21"/>
      <c r="H8" s="21"/>
      <c r="I8" s="21"/>
      <c r="J8" s="21">
        <f>MAX((J5+J6),0)</f>
        <v>33.144899627834818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0.15676868719232398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58.180973312618747</v>
      </c>
      <c r="C12" s="23">
        <f ca="1">C8*C10</f>
        <v>0</v>
      </c>
      <c r="D12" s="23">
        <f>D8*D10</f>
        <v>1130.4716048050407</v>
      </c>
      <c r="E12" s="23">
        <f>E8*E10</f>
        <v>0.88223875135856622</v>
      </c>
      <c r="F12" s="23">
        <f>F8*F10</f>
        <v>508.94564306770366</v>
      </c>
      <c r="G12" s="23"/>
      <c r="H12" s="23"/>
      <c r="I12" s="23"/>
      <c r="J12" s="23">
        <f>J8*J10</f>
        <v>11.733294468253526</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5.7123492283621208E-2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65.706969984831701</v>
      </c>
      <c r="C26" s="248">
        <f>B26*'GWP N2O_CH4'!B5</f>
        <v>1379.8463696814658</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15.600940742324205</v>
      </c>
      <c r="C27" s="248">
        <f>B27*'GWP N2O_CH4'!B5</f>
        <v>327.61975558880829</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0.78286367136329515</v>
      </c>
      <c r="C28" s="248">
        <f>B28*'GWP N2O_CH4'!B4</f>
        <v>242.68773812262151</v>
      </c>
      <c r="D28" s="50"/>
    </row>
    <row r="29" spans="1:4">
      <c r="A29" s="41" t="s">
        <v>278</v>
      </c>
      <c r="B29" s="248">
        <f>B34*'ha_N2O bodem landbouw'!B4</f>
        <v>4.480537058172799</v>
      </c>
      <c r="C29" s="248">
        <f>B29*'GWP N2O_CH4'!B4</f>
        <v>1388.9664880335677</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7.4046759487798636E-4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7.0891603601281214E-6</v>
      </c>
      <c r="C5" s="446" t="s">
        <v>212</v>
      </c>
      <c r="D5" s="431">
        <f>SUM(D6:D11)</f>
        <v>3.2549487177035573E-5</v>
      </c>
      <c r="E5" s="431">
        <f>SUM(E6:E11)</f>
        <v>3.9877842099292999E-3</v>
      </c>
      <c r="F5" s="444" t="s">
        <v>212</v>
      </c>
      <c r="G5" s="431">
        <f>SUM(G6:G11)</f>
        <v>0.69978786915460389</v>
      </c>
      <c r="H5" s="431">
        <f>SUM(H6:H11)</f>
        <v>0.11378877045599727</v>
      </c>
      <c r="I5" s="446" t="s">
        <v>212</v>
      </c>
      <c r="J5" s="446" t="s">
        <v>212</v>
      </c>
      <c r="K5" s="446" t="s">
        <v>212</v>
      </c>
      <c r="L5" s="446" t="s">
        <v>212</v>
      </c>
      <c r="M5" s="431">
        <f>SUM(M6:M11)</f>
        <v>3.548289382497756E-2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1.4130712444831139E-6</v>
      </c>
      <c r="C6" s="432"/>
      <c r="D6" s="432">
        <f>vkm_2011_GW_PW*SUMIFS(TableVerdeelsleutelVkm[CNG],TableVerdeelsleutelVkm[Voertuigtype],"Lichte voertuigen")*SUMIFS(TableECFTransport[EnergieConsumptieFactor (PJ per km)],TableECFTransport[Index],CONCATENATE($A6,"_CNG_CNG"))</f>
        <v>6.0915858797465998E-6</v>
      </c>
      <c r="E6" s="434">
        <f>vkm_2011_GW_PW*SUMIFS(TableVerdeelsleutelVkm[LPG],TableVerdeelsleutelVkm[Voertuigtype],"Lichte voertuigen")*SUMIFS(TableECFTransport[EnergieConsumptieFactor (PJ per km)],TableECFTransport[Index],CONCATENATE($A6,"_LPG_LPG"))</f>
        <v>6.3379213360115249E-4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7.7958172369104572E-2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2.0524771256014453E-2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4.3159947349780863E-3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4.0464985704962347E-2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1.3874882848733262E-5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1.748011564218854E-3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3.3857132436953928E-7</v>
      </c>
      <c r="C8" s="432"/>
      <c r="D8" s="434">
        <f>vkm_2011_NGW_PW*SUMIFS(TableVerdeelsleutelVkm[CNG],TableVerdeelsleutelVkm[Voertuigtype],"Lichte voertuigen")*SUMIFS(TableECFTransport[EnergieConsumptieFactor (PJ per km)],TableECFTransport[Index],CONCATENATE($A8,"_CNG_CNG"))</f>
        <v>2.6184532232762795E-6</v>
      </c>
      <c r="E8" s="434">
        <f>vkm_2011_NGW_PW*SUMIFS(TableVerdeelsleutelVkm[LPG],TableVerdeelsleutelVkm[Voertuigtype],"Lichte voertuigen")*SUMIFS(TableECFTransport[EnergieConsumptieFactor (PJ per km)],TableECFTransport[Index],CONCATENATE($A8,"_LPG_LPG"))</f>
        <v>2.487524404444675E-4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2.9020778880435416E-2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8.4216994576460976E-3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1.642815249692996E-3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1.0921674887649268E-2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3.2532800248478603E-6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4.7177314695409748E-4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5.3375177912754678E-6</v>
      </c>
      <c r="C10" s="432"/>
      <c r="D10" s="434">
        <f>vkm_2011_SW_PW*SUMIFS(TableVerdeelsleutelVkm[CNG],TableVerdeelsleutelVkm[Voertuigtype],"Lichte voertuigen")*SUMIFS(TableECFTransport[EnergieConsumptieFactor (PJ per km)],TableECFTransport[Index],CONCATENATE($A10,"_CNG_CNG"))</f>
        <v>2.3839448074012691E-5</v>
      </c>
      <c r="E10" s="434">
        <f>vkm_2011_SW_PW*SUMIFS(TableVerdeelsleutelVkm[LPG],TableVerdeelsleutelVkm[Voertuigtype],"Lichte voertuigen")*SUMIFS(TableECFTransport[EnergieConsumptieFactor (PJ per km)],TableECFTransport[Index],CONCATENATE($A10,"_LPG_LPG"))</f>
        <v>3.10523963588368E-3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0.35114484672532165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8.4755559428596361E-2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1.9084469392332194E-2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0.19027741058713066</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6.961215086677137E-5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8.2198297368013366E-3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1.9692112111467004</v>
      </c>
      <c r="C14" s="21"/>
      <c r="D14" s="21">
        <f t="shared" ref="D14:M14" si="0">((D5)*10^9/3600)+D12</f>
        <v>9.0415242158432161</v>
      </c>
      <c r="E14" s="21">
        <f t="shared" si="0"/>
        <v>1107.7178360914722</v>
      </c>
      <c r="F14" s="21"/>
      <c r="G14" s="21">
        <f t="shared" si="0"/>
        <v>194385.51920961219</v>
      </c>
      <c r="H14" s="21">
        <f t="shared" si="0"/>
        <v>31607.991793332571</v>
      </c>
      <c r="I14" s="21"/>
      <c r="J14" s="21"/>
      <c r="K14" s="21"/>
      <c r="L14" s="21"/>
      <c r="M14" s="21">
        <f t="shared" si="0"/>
        <v>9856.3593958271013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0.15676868719232398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0.30871065637587453</v>
      </c>
      <c r="C18" s="23"/>
      <c r="D18" s="23">
        <f t="shared" ref="D18:M18" si="1">D14*D16</f>
        <v>1.8263878916003298</v>
      </c>
      <c r="E18" s="23">
        <f t="shared" si="1"/>
        <v>251.4519487927642</v>
      </c>
      <c r="F18" s="23"/>
      <c r="G18" s="23">
        <f t="shared" si="1"/>
        <v>51900.933628966457</v>
      </c>
      <c r="H18" s="23">
        <f t="shared" si="1"/>
        <v>7870.3899565398096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1.2667408337056548E-3</v>
      </c>
      <c r="C50" s="322">
        <f t="shared" ref="C50:P50" si="2">SUM(C51:C52)</f>
        <v>0</v>
      </c>
      <c r="D50" s="322">
        <f t="shared" si="2"/>
        <v>0</v>
      </c>
      <c r="E50" s="322">
        <f t="shared" si="2"/>
        <v>0</v>
      </c>
      <c r="F50" s="322">
        <f t="shared" si="2"/>
        <v>0</v>
      </c>
      <c r="G50" s="322">
        <f t="shared" si="2"/>
        <v>4.1748155752296566E-3</v>
      </c>
      <c r="H50" s="322">
        <f t="shared" si="2"/>
        <v>0</v>
      </c>
      <c r="I50" s="322">
        <f t="shared" si="2"/>
        <v>0</v>
      </c>
      <c r="J50" s="322">
        <f t="shared" si="2"/>
        <v>0</v>
      </c>
      <c r="K50" s="322">
        <f t="shared" si="2"/>
        <v>0</v>
      </c>
      <c r="L50" s="322">
        <f t="shared" si="2"/>
        <v>0</v>
      </c>
      <c r="M50" s="322">
        <f t="shared" si="2"/>
        <v>1.7795425058360302E-4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4.1748155752296566E-3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1.7795425058360302E-4</v>
      </c>
      <c r="N51" s="324"/>
      <c r="O51" s="324"/>
      <c r="P51" s="327"/>
    </row>
    <row r="52" spans="1:18">
      <c r="A52" s="4" t="s">
        <v>331</v>
      </c>
      <c r="B52" s="328">
        <f>vkm_2011_tram*SUMIFS(TableECFTransport[EnergieConsumptieFactor (PJ per km)],TableECFTransport[Index],"Tram_gemiddeld_Electric_Electric")</f>
        <v>1.2667408337056548E-3</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351.87245380712636</v>
      </c>
      <c r="C54" s="21">
        <f t="shared" ref="C54:P54" si="3">(C50)*10^9/3600</f>
        <v>0</v>
      </c>
      <c r="D54" s="21">
        <f t="shared" si="3"/>
        <v>0</v>
      </c>
      <c r="E54" s="21">
        <f t="shared" si="3"/>
        <v>0</v>
      </c>
      <c r="F54" s="21">
        <f t="shared" si="3"/>
        <v>0</v>
      </c>
      <c r="G54" s="21">
        <f t="shared" si="3"/>
        <v>1159.6709931193491</v>
      </c>
      <c r="H54" s="21">
        <f t="shared" si="3"/>
        <v>0</v>
      </c>
      <c r="I54" s="21">
        <f t="shared" si="3"/>
        <v>0</v>
      </c>
      <c r="J54" s="21">
        <f t="shared" si="3"/>
        <v>0</v>
      </c>
      <c r="K54" s="21">
        <f t="shared" si="3"/>
        <v>0</v>
      </c>
      <c r="L54" s="21">
        <f t="shared" si="3"/>
        <v>0</v>
      </c>
      <c r="M54" s="21">
        <f t="shared" si="3"/>
        <v>49.431736273223059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0.15676868719232398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55.162582642484864</v>
      </c>
      <c r="C58" s="23">
        <f t="shared" ref="C58:P58" ca="1" si="4">C54*C56</f>
        <v>0</v>
      </c>
      <c r="D58" s="23">
        <f t="shared" si="4"/>
        <v>0</v>
      </c>
      <c r="E58" s="23">
        <f t="shared" si="4"/>
        <v>0</v>
      </c>
      <c r="F58" s="23">
        <f t="shared" si="4"/>
        <v>0</v>
      </c>
      <c r="G58" s="23">
        <f t="shared" si="4"/>
        <v>309.63215516286624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11397.893748012835</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1485.437011172286</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12883.330759185121</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16575.89094256645</v>
      </c>
      <c r="D10" s="702">
        <f ca="1">tertiair!C16</f>
        <v>0</v>
      </c>
      <c r="E10" s="702">
        <f ca="1">tertiair!D16</f>
        <v>22103.982706840747</v>
      </c>
      <c r="F10" s="702">
        <f>tertiair!E16</f>
        <v>324.10459448528451</v>
      </c>
      <c r="G10" s="702">
        <f ca="1">tertiair!F16</f>
        <v>3685.0710138469599</v>
      </c>
      <c r="H10" s="702">
        <f>tertiair!G16</f>
        <v>0</v>
      </c>
      <c r="I10" s="702">
        <f>tertiair!H16</f>
        <v>0</v>
      </c>
      <c r="J10" s="702">
        <f>tertiair!I16</f>
        <v>0</v>
      </c>
      <c r="K10" s="702">
        <f>tertiair!J16</f>
        <v>0</v>
      </c>
      <c r="L10" s="702">
        <f>tertiair!K16</f>
        <v>0</v>
      </c>
      <c r="M10" s="702">
        <f ca="1">tertiair!L16</f>
        <v>0</v>
      </c>
      <c r="N10" s="702">
        <f>tertiair!M16</f>
        <v>0</v>
      </c>
      <c r="O10" s="702">
        <f ca="1">tertiair!N16</f>
        <v>379.56400769044922</v>
      </c>
      <c r="P10" s="702">
        <f>tertiair!O16</f>
        <v>1.5633333333333335</v>
      </c>
      <c r="Q10" s="703">
        <f>tertiair!P16</f>
        <v>19.066666666666666</v>
      </c>
      <c r="R10" s="705">
        <f ca="1">SUM(C10:Q10)</f>
        <v>43089.243265429883</v>
      </c>
      <c r="S10" s="67"/>
    </row>
    <row r="11" spans="1:19" s="457" customFormat="1">
      <c r="A11" s="858" t="s">
        <v>226</v>
      </c>
      <c r="B11" s="863"/>
      <c r="C11" s="702">
        <f>huishoudens!B8</f>
        <v>21722.811199256288</v>
      </c>
      <c r="D11" s="702">
        <f>huishoudens!C8</f>
        <v>0</v>
      </c>
      <c r="E11" s="702">
        <f>huishoudens!D8</f>
        <v>47742.93137674695</v>
      </c>
      <c r="F11" s="702">
        <f>huishoudens!E8</f>
        <v>902.06020466542202</v>
      </c>
      <c r="G11" s="702">
        <f>huishoudens!F8</f>
        <v>8708.1242281768318</v>
      </c>
      <c r="H11" s="702">
        <f>huishoudens!G8</f>
        <v>0</v>
      </c>
      <c r="I11" s="702">
        <f>huishoudens!H8</f>
        <v>0</v>
      </c>
      <c r="J11" s="702">
        <f>huishoudens!I8</f>
        <v>0</v>
      </c>
      <c r="K11" s="702">
        <f>huishoudens!J8</f>
        <v>174.98489498098039</v>
      </c>
      <c r="L11" s="702">
        <f>huishoudens!K8</f>
        <v>0</v>
      </c>
      <c r="M11" s="702">
        <f>huishoudens!L8</f>
        <v>0</v>
      </c>
      <c r="N11" s="702">
        <f>huishoudens!M8</f>
        <v>0</v>
      </c>
      <c r="O11" s="702">
        <f>huishoudens!N8</f>
        <v>5446.8927765312037</v>
      </c>
      <c r="P11" s="702">
        <f>huishoudens!O8</f>
        <v>59.406666666666666</v>
      </c>
      <c r="Q11" s="703">
        <f>huishoudens!P8</f>
        <v>76.266666666666666</v>
      </c>
      <c r="R11" s="705">
        <f>SUM(C11:Q11)</f>
        <v>84833.478013691012</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5303.8701102813893</v>
      </c>
      <c r="D13" s="702">
        <f>industrie!C18</f>
        <v>0</v>
      </c>
      <c r="E13" s="702">
        <f>industrie!D18</f>
        <v>2395.9508110863562</v>
      </c>
      <c r="F13" s="702">
        <f>industrie!E18</f>
        <v>55.455375794626889</v>
      </c>
      <c r="G13" s="702">
        <f>industrie!F18</f>
        <v>1616.1916081600043</v>
      </c>
      <c r="H13" s="702">
        <f>industrie!G18</f>
        <v>0</v>
      </c>
      <c r="I13" s="702">
        <f>industrie!H18</f>
        <v>0</v>
      </c>
      <c r="J13" s="702">
        <f>industrie!I18</f>
        <v>0</v>
      </c>
      <c r="K13" s="702">
        <f>industrie!J18</f>
        <v>28.549407357915012</v>
      </c>
      <c r="L13" s="702">
        <f>industrie!K18</f>
        <v>0</v>
      </c>
      <c r="M13" s="702">
        <f>industrie!L18</f>
        <v>0</v>
      </c>
      <c r="N13" s="702">
        <f>industrie!M18</f>
        <v>0</v>
      </c>
      <c r="O13" s="702">
        <f>industrie!N18</f>
        <v>149.16151029447286</v>
      </c>
      <c r="P13" s="702">
        <f>industrie!O18</f>
        <v>0</v>
      </c>
      <c r="Q13" s="703">
        <f>industrie!P18</f>
        <v>0</v>
      </c>
      <c r="R13" s="705">
        <f>SUM(C13:Q13)</f>
        <v>9549.1788229747654</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43602.572252104124</v>
      </c>
      <c r="D15" s="707">
        <f t="shared" ref="D15:Q15" ca="1" si="0">SUM(D9:D14)</f>
        <v>0</v>
      </c>
      <c r="E15" s="707">
        <f t="shared" ca="1" si="0"/>
        <v>72242.864894674058</v>
      </c>
      <c r="F15" s="707">
        <f t="shared" si="0"/>
        <v>1281.6201749453335</v>
      </c>
      <c r="G15" s="707">
        <f t="shared" ca="1" si="0"/>
        <v>14009.386850183797</v>
      </c>
      <c r="H15" s="707">
        <f t="shared" si="0"/>
        <v>0</v>
      </c>
      <c r="I15" s="707">
        <f t="shared" si="0"/>
        <v>0</v>
      </c>
      <c r="J15" s="707">
        <f t="shared" si="0"/>
        <v>0</v>
      </c>
      <c r="K15" s="707">
        <f t="shared" si="0"/>
        <v>203.5343023388954</v>
      </c>
      <c r="L15" s="707">
        <f t="shared" si="0"/>
        <v>0</v>
      </c>
      <c r="M15" s="707">
        <f t="shared" ca="1" si="0"/>
        <v>0</v>
      </c>
      <c r="N15" s="707">
        <f t="shared" si="0"/>
        <v>0</v>
      </c>
      <c r="O15" s="707">
        <f t="shared" ca="1" si="0"/>
        <v>5975.6182945161254</v>
      </c>
      <c r="P15" s="707">
        <f t="shared" si="0"/>
        <v>60.97</v>
      </c>
      <c r="Q15" s="708">
        <f t="shared" si="0"/>
        <v>95.333333333333329</v>
      </c>
      <c r="R15" s="709">
        <f ca="1">SUM(R9:R14)</f>
        <v>137471.90010209565</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351.87245380712636</v>
      </c>
      <c r="D18" s="702">
        <f>transport!C54</f>
        <v>0</v>
      </c>
      <c r="E18" s="702">
        <f>transport!D54</f>
        <v>0</v>
      </c>
      <c r="F18" s="702">
        <f>transport!E54</f>
        <v>0</v>
      </c>
      <c r="G18" s="702">
        <f>transport!F54</f>
        <v>0</v>
      </c>
      <c r="H18" s="702">
        <f>transport!G54</f>
        <v>1159.6709931193491</v>
      </c>
      <c r="I18" s="702">
        <f>transport!H54</f>
        <v>0</v>
      </c>
      <c r="J18" s="702">
        <f>transport!I54</f>
        <v>0</v>
      </c>
      <c r="K18" s="702">
        <f>transport!J54</f>
        <v>0</v>
      </c>
      <c r="L18" s="702">
        <f>transport!K54</f>
        <v>0</v>
      </c>
      <c r="M18" s="702">
        <f>transport!L54</f>
        <v>0</v>
      </c>
      <c r="N18" s="702">
        <f>transport!M54</f>
        <v>49.431736273223059</v>
      </c>
      <c r="O18" s="702">
        <f>transport!N54</f>
        <v>0</v>
      </c>
      <c r="P18" s="702">
        <f>transport!O54</f>
        <v>0</v>
      </c>
      <c r="Q18" s="703">
        <f>transport!P54</f>
        <v>0</v>
      </c>
      <c r="R18" s="705">
        <f>SUM(C18:Q18)</f>
        <v>1560.9751831996987</v>
      </c>
      <c r="S18" s="67"/>
    </row>
    <row r="19" spans="1:19" s="457" customFormat="1" ht="15" thickBot="1">
      <c r="A19" s="858" t="s">
        <v>308</v>
      </c>
      <c r="B19" s="863"/>
      <c r="C19" s="711">
        <f>transport!B14</f>
        <v>1.9692112111467004</v>
      </c>
      <c r="D19" s="711">
        <f>transport!C14</f>
        <v>0</v>
      </c>
      <c r="E19" s="711">
        <f>transport!D14</f>
        <v>9.0415242158432161</v>
      </c>
      <c r="F19" s="711">
        <f>transport!E14</f>
        <v>1107.7178360914722</v>
      </c>
      <c r="G19" s="711">
        <f>transport!F14</f>
        <v>0</v>
      </c>
      <c r="H19" s="711">
        <f>transport!G14</f>
        <v>194385.51920961219</v>
      </c>
      <c r="I19" s="711">
        <f>transport!H14</f>
        <v>31607.991793332571</v>
      </c>
      <c r="J19" s="711">
        <f>transport!I14</f>
        <v>0</v>
      </c>
      <c r="K19" s="711">
        <f>transport!J14</f>
        <v>0</v>
      </c>
      <c r="L19" s="711">
        <f>transport!K14</f>
        <v>0</v>
      </c>
      <c r="M19" s="711">
        <f>transport!L14</f>
        <v>0</v>
      </c>
      <c r="N19" s="711">
        <f>transport!M14</f>
        <v>9856.3593958271013</v>
      </c>
      <c r="O19" s="711">
        <f>transport!N14</f>
        <v>0</v>
      </c>
      <c r="P19" s="711">
        <f>transport!O14</f>
        <v>0</v>
      </c>
      <c r="Q19" s="712">
        <f>transport!P14</f>
        <v>0</v>
      </c>
      <c r="R19" s="713">
        <f>SUM(C19:Q19)</f>
        <v>236968.59897029033</v>
      </c>
      <c r="S19" s="67"/>
    </row>
    <row r="20" spans="1:19" s="457" customFormat="1" ht="15.75" thickBot="1">
      <c r="A20" s="714" t="s">
        <v>231</v>
      </c>
      <c r="B20" s="866"/>
      <c r="C20" s="861">
        <f>SUM(C17:C19)</f>
        <v>353.84166501827309</v>
      </c>
      <c r="D20" s="715">
        <f t="shared" ref="D20:R20" si="1">SUM(D17:D19)</f>
        <v>0</v>
      </c>
      <c r="E20" s="715">
        <f t="shared" si="1"/>
        <v>9.0415242158432161</v>
      </c>
      <c r="F20" s="715">
        <f t="shared" si="1"/>
        <v>1107.7178360914722</v>
      </c>
      <c r="G20" s="715">
        <f t="shared" si="1"/>
        <v>0</v>
      </c>
      <c r="H20" s="715">
        <f t="shared" si="1"/>
        <v>195545.19020273155</v>
      </c>
      <c r="I20" s="715">
        <f t="shared" si="1"/>
        <v>31607.991793332571</v>
      </c>
      <c r="J20" s="715">
        <f t="shared" si="1"/>
        <v>0</v>
      </c>
      <c r="K20" s="715">
        <f t="shared" si="1"/>
        <v>0</v>
      </c>
      <c r="L20" s="715">
        <f t="shared" si="1"/>
        <v>0</v>
      </c>
      <c r="M20" s="715">
        <f t="shared" si="1"/>
        <v>0</v>
      </c>
      <c r="N20" s="715">
        <f t="shared" si="1"/>
        <v>9905.7911321003248</v>
      </c>
      <c r="O20" s="715">
        <f t="shared" si="1"/>
        <v>0</v>
      </c>
      <c r="P20" s="715">
        <f t="shared" si="1"/>
        <v>0</v>
      </c>
      <c r="Q20" s="716">
        <f t="shared" si="1"/>
        <v>0</v>
      </c>
      <c r="R20" s="717">
        <f t="shared" si="1"/>
        <v>238529.57415349004</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371.12623926768151</v>
      </c>
      <c r="D22" s="711">
        <f>+landbouw!C8</f>
        <v>0</v>
      </c>
      <c r="E22" s="711">
        <f>+landbouw!D8</f>
        <v>5596.3940831932705</v>
      </c>
      <c r="F22" s="711">
        <f>+landbouw!E8</f>
        <v>3.8865143231654899</v>
      </c>
      <c r="G22" s="711">
        <f>+landbouw!F8</f>
        <v>1906.1634571824106</v>
      </c>
      <c r="H22" s="711">
        <f>+landbouw!G8</f>
        <v>0</v>
      </c>
      <c r="I22" s="711">
        <f>+landbouw!H8</f>
        <v>0</v>
      </c>
      <c r="J22" s="711">
        <f>+landbouw!I8</f>
        <v>0</v>
      </c>
      <c r="K22" s="711">
        <f>+landbouw!J8</f>
        <v>33.144899627834818</v>
      </c>
      <c r="L22" s="711">
        <f>+landbouw!K8</f>
        <v>0</v>
      </c>
      <c r="M22" s="711">
        <f>+landbouw!L8</f>
        <v>0</v>
      </c>
      <c r="N22" s="711">
        <f>+landbouw!M8</f>
        <v>0</v>
      </c>
      <c r="O22" s="711">
        <f>+landbouw!N8</f>
        <v>0</v>
      </c>
      <c r="P22" s="711">
        <f>+landbouw!O8</f>
        <v>0</v>
      </c>
      <c r="Q22" s="712">
        <f>+landbouw!P8</f>
        <v>0</v>
      </c>
      <c r="R22" s="713">
        <f>SUM(C22:Q22)</f>
        <v>7910.715193594363</v>
      </c>
      <c r="S22" s="67"/>
    </row>
    <row r="23" spans="1:19" s="457" customFormat="1" ht="17.25" thickTop="1" thickBot="1">
      <c r="A23" s="718" t="s">
        <v>116</v>
      </c>
      <c r="B23" s="852"/>
      <c r="C23" s="719">
        <f ca="1">C20+C15+C22</f>
        <v>44327.540156390074</v>
      </c>
      <c r="D23" s="719">
        <f t="shared" ref="D23:Q23" ca="1" si="2">D20+D15+D22</f>
        <v>0</v>
      </c>
      <c r="E23" s="719">
        <f t="shared" ca="1" si="2"/>
        <v>77848.300502083177</v>
      </c>
      <c r="F23" s="719">
        <f t="shared" si="2"/>
        <v>2393.2245253599713</v>
      </c>
      <c r="G23" s="719">
        <f t="shared" ca="1" si="2"/>
        <v>15915.550307366208</v>
      </c>
      <c r="H23" s="719">
        <f t="shared" si="2"/>
        <v>195545.19020273155</v>
      </c>
      <c r="I23" s="719">
        <f t="shared" si="2"/>
        <v>31607.991793332571</v>
      </c>
      <c r="J23" s="719">
        <f t="shared" si="2"/>
        <v>0</v>
      </c>
      <c r="K23" s="719">
        <f t="shared" si="2"/>
        <v>236.6792019667302</v>
      </c>
      <c r="L23" s="719">
        <f t="shared" si="2"/>
        <v>0</v>
      </c>
      <c r="M23" s="719">
        <f t="shared" ca="1" si="2"/>
        <v>0</v>
      </c>
      <c r="N23" s="719">
        <f t="shared" si="2"/>
        <v>9905.7911321003248</v>
      </c>
      <c r="O23" s="719">
        <f t="shared" ca="1" si="2"/>
        <v>5975.6182945161254</v>
      </c>
      <c r="P23" s="719">
        <f t="shared" si="2"/>
        <v>60.97</v>
      </c>
      <c r="Q23" s="720">
        <f t="shared" si="2"/>
        <v>95.333333333333329</v>
      </c>
      <c r="R23" s="721">
        <f ca="1">R20+R15+R22</f>
        <v>383912.18944918003</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2598.5806621092761</v>
      </c>
      <c r="D36" s="702">
        <f ca="1">tertiair!C20</f>
        <v>0</v>
      </c>
      <c r="E36" s="702">
        <f ca="1">tertiair!D20</f>
        <v>4465.004506781831</v>
      </c>
      <c r="F36" s="702">
        <f>tertiair!E20</f>
        <v>73.571742948159581</v>
      </c>
      <c r="G36" s="702">
        <f ca="1">tertiair!F20</f>
        <v>983.91396069713835</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8121.0708725364047</v>
      </c>
    </row>
    <row r="37" spans="1:18">
      <c r="A37" s="873" t="s">
        <v>226</v>
      </c>
      <c r="B37" s="880"/>
      <c r="C37" s="702">
        <f ca="1">huishoudens!B12</f>
        <v>3405.4565938341211</v>
      </c>
      <c r="D37" s="702">
        <f ca="1">huishoudens!C12</f>
        <v>0</v>
      </c>
      <c r="E37" s="702">
        <f>huishoudens!D12</f>
        <v>9644.0721381028852</v>
      </c>
      <c r="F37" s="702">
        <f>huishoudens!E12</f>
        <v>204.76766645905082</v>
      </c>
      <c r="G37" s="702">
        <f>huishoudens!F12</f>
        <v>2325.0691689232144</v>
      </c>
      <c r="H37" s="702">
        <f>huishoudens!G12</f>
        <v>0</v>
      </c>
      <c r="I37" s="702">
        <f>huishoudens!H12</f>
        <v>0</v>
      </c>
      <c r="J37" s="702">
        <f>huishoudens!I12</f>
        <v>0</v>
      </c>
      <c r="K37" s="702">
        <f>huishoudens!J12</f>
        <v>61.944652823267056</v>
      </c>
      <c r="L37" s="702">
        <f>huishoudens!K12</f>
        <v>0</v>
      </c>
      <c r="M37" s="702">
        <f>huishoudens!L12</f>
        <v>0</v>
      </c>
      <c r="N37" s="702">
        <f>huishoudens!M12</f>
        <v>0</v>
      </c>
      <c r="O37" s="702">
        <f>huishoudens!N12</f>
        <v>0</v>
      </c>
      <c r="P37" s="702">
        <f>huishoudens!O12</f>
        <v>0</v>
      </c>
      <c r="Q37" s="812">
        <f>huishoudens!P12</f>
        <v>0</v>
      </c>
      <c r="R37" s="905">
        <f ca="1">SUM(C37:Q37)</f>
        <v>15641.310220142541</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831.48075422741999</v>
      </c>
      <c r="D39" s="702">
        <f ca="1">industrie!C22</f>
        <v>0</v>
      </c>
      <c r="E39" s="702">
        <f>industrie!D22</f>
        <v>483.98206383944398</v>
      </c>
      <c r="F39" s="702">
        <f>industrie!E22</f>
        <v>12.588370305380304</v>
      </c>
      <c r="G39" s="702">
        <f>industrie!F22</f>
        <v>431.52315937872118</v>
      </c>
      <c r="H39" s="702">
        <f>industrie!G22</f>
        <v>0</v>
      </c>
      <c r="I39" s="702">
        <f>industrie!H22</f>
        <v>0</v>
      </c>
      <c r="J39" s="702">
        <f>industrie!I22</f>
        <v>0</v>
      </c>
      <c r="K39" s="702">
        <f>industrie!J22</f>
        <v>10.106490204701913</v>
      </c>
      <c r="L39" s="702">
        <f>industrie!K22</f>
        <v>0</v>
      </c>
      <c r="M39" s="702">
        <f>industrie!L22</f>
        <v>0</v>
      </c>
      <c r="N39" s="702">
        <f>industrie!M22</f>
        <v>0</v>
      </c>
      <c r="O39" s="702">
        <f>industrie!N22</f>
        <v>0</v>
      </c>
      <c r="P39" s="702">
        <f>industrie!O22</f>
        <v>0</v>
      </c>
      <c r="Q39" s="812">
        <f>industrie!P22</f>
        <v>0</v>
      </c>
      <c r="R39" s="906">
        <f ca="1">SUM(C39:Q39)</f>
        <v>1769.6808379556674</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6835.5180101708174</v>
      </c>
      <c r="D41" s="747">
        <f t="shared" ref="D41:R41" ca="1" si="4">SUM(D35:D40)</f>
        <v>0</v>
      </c>
      <c r="E41" s="747">
        <f t="shared" ca="1" si="4"/>
        <v>14593.058708724162</v>
      </c>
      <c r="F41" s="747">
        <f t="shared" si="4"/>
        <v>290.92777971259068</v>
      </c>
      <c r="G41" s="747">
        <f t="shared" ca="1" si="4"/>
        <v>3740.5062889990741</v>
      </c>
      <c r="H41" s="747">
        <f t="shared" si="4"/>
        <v>0</v>
      </c>
      <c r="I41" s="747">
        <f t="shared" si="4"/>
        <v>0</v>
      </c>
      <c r="J41" s="747">
        <f t="shared" si="4"/>
        <v>0</v>
      </c>
      <c r="K41" s="747">
        <f t="shared" si="4"/>
        <v>72.051143027968976</v>
      </c>
      <c r="L41" s="747">
        <f t="shared" si="4"/>
        <v>0</v>
      </c>
      <c r="M41" s="747">
        <f t="shared" ca="1" si="4"/>
        <v>0</v>
      </c>
      <c r="N41" s="747">
        <f t="shared" si="4"/>
        <v>0</v>
      </c>
      <c r="O41" s="747">
        <f t="shared" ca="1" si="4"/>
        <v>0</v>
      </c>
      <c r="P41" s="747">
        <f t="shared" si="4"/>
        <v>0</v>
      </c>
      <c r="Q41" s="748">
        <f t="shared" si="4"/>
        <v>0</v>
      </c>
      <c r="R41" s="749">
        <f t="shared" ca="1" si="4"/>
        <v>25532.061930634613</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55.162582642484864</v>
      </c>
      <c r="D44" s="702">
        <f ca="1">transport!C58</f>
        <v>0</v>
      </c>
      <c r="E44" s="702">
        <f>transport!D58</f>
        <v>0</v>
      </c>
      <c r="F44" s="702">
        <f>transport!E58</f>
        <v>0</v>
      </c>
      <c r="G44" s="702">
        <f>transport!F58</f>
        <v>0</v>
      </c>
      <c r="H44" s="702">
        <f>transport!G58</f>
        <v>309.63215516286624</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364.79473780535113</v>
      </c>
    </row>
    <row r="45" spans="1:18" ht="15" thickBot="1">
      <c r="A45" s="876" t="s">
        <v>308</v>
      </c>
      <c r="B45" s="886"/>
      <c r="C45" s="711">
        <f ca="1">transport!B18</f>
        <v>0.30871065637587453</v>
      </c>
      <c r="D45" s="711">
        <f>transport!C18</f>
        <v>0</v>
      </c>
      <c r="E45" s="711">
        <f>transport!D18</f>
        <v>1.8263878916003298</v>
      </c>
      <c r="F45" s="711">
        <f>transport!E18</f>
        <v>251.4519487927642</v>
      </c>
      <c r="G45" s="711">
        <f>transport!F18</f>
        <v>0</v>
      </c>
      <c r="H45" s="711">
        <f>transport!G18</f>
        <v>51900.933628966457</v>
      </c>
      <c r="I45" s="711">
        <f>transport!H18</f>
        <v>7870.3899565398096</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60024.910632847008</v>
      </c>
    </row>
    <row r="46" spans="1:18" ht="15.75" thickBot="1">
      <c r="A46" s="874" t="s">
        <v>231</v>
      </c>
      <c r="B46" s="887"/>
      <c r="C46" s="747">
        <f t="shared" ref="C46:R46" ca="1" si="5">SUM(C43:C45)</f>
        <v>55.471293298860736</v>
      </c>
      <c r="D46" s="747">
        <f t="shared" ca="1" si="5"/>
        <v>0</v>
      </c>
      <c r="E46" s="747">
        <f t="shared" si="5"/>
        <v>1.8263878916003298</v>
      </c>
      <c r="F46" s="747">
        <f t="shared" si="5"/>
        <v>251.4519487927642</v>
      </c>
      <c r="G46" s="747">
        <f t="shared" si="5"/>
        <v>0</v>
      </c>
      <c r="H46" s="747">
        <f t="shared" si="5"/>
        <v>52210.565784129321</v>
      </c>
      <c r="I46" s="747">
        <f t="shared" si="5"/>
        <v>7870.3899565398096</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60389.705370652358</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58.180973312618747</v>
      </c>
      <c r="D48" s="702">
        <f ca="1">+landbouw!C12</f>
        <v>0</v>
      </c>
      <c r="E48" s="702">
        <f>+landbouw!D12</f>
        <v>1130.4716048050407</v>
      </c>
      <c r="F48" s="702">
        <f>+landbouw!E12</f>
        <v>0.88223875135856622</v>
      </c>
      <c r="G48" s="702">
        <f>+landbouw!F12</f>
        <v>508.94564306770366</v>
      </c>
      <c r="H48" s="702">
        <f>+landbouw!G12</f>
        <v>0</v>
      </c>
      <c r="I48" s="702">
        <f>+landbouw!H12</f>
        <v>0</v>
      </c>
      <c r="J48" s="702">
        <f>+landbouw!I12</f>
        <v>0</v>
      </c>
      <c r="K48" s="702">
        <f>+landbouw!J12</f>
        <v>11.733294468253526</v>
      </c>
      <c r="L48" s="702">
        <f>+landbouw!K12</f>
        <v>0</v>
      </c>
      <c r="M48" s="702">
        <f>+landbouw!L12</f>
        <v>0</v>
      </c>
      <c r="N48" s="702">
        <f>+landbouw!M12</f>
        <v>0</v>
      </c>
      <c r="O48" s="702">
        <f>+landbouw!N12</f>
        <v>0</v>
      </c>
      <c r="P48" s="702">
        <f>+landbouw!O12</f>
        <v>0</v>
      </c>
      <c r="Q48" s="703">
        <f>+landbouw!P12</f>
        <v>0</v>
      </c>
      <c r="R48" s="745">
        <f ca="1">SUM(C48:Q48)</f>
        <v>1710.2137544049751</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6949.1702767822962</v>
      </c>
      <c r="D53" s="757">
        <f t="shared" ref="D53:Q53" ca="1" si="6">D41+D46+D48</f>
        <v>0</v>
      </c>
      <c r="E53" s="757">
        <f t="shared" ca="1" si="6"/>
        <v>15725.356701420804</v>
      </c>
      <c r="F53" s="757">
        <f t="shared" si="6"/>
        <v>543.26196725671355</v>
      </c>
      <c r="G53" s="757">
        <f t="shared" ca="1" si="6"/>
        <v>4249.4519320667778</v>
      </c>
      <c r="H53" s="757">
        <f t="shared" si="6"/>
        <v>52210.565784129321</v>
      </c>
      <c r="I53" s="757">
        <f t="shared" si="6"/>
        <v>7870.3899565398096</v>
      </c>
      <c r="J53" s="757">
        <f t="shared" si="6"/>
        <v>0</v>
      </c>
      <c r="K53" s="757">
        <f t="shared" si="6"/>
        <v>83.784437496222495</v>
      </c>
      <c r="L53" s="757">
        <f t="shared" si="6"/>
        <v>0</v>
      </c>
      <c r="M53" s="757">
        <f t="shared" ca="1" si="6"/>
        <v>0</v>
      </c>
      <c r="N53" s="757">
        <f t="shared" si="6"/>
        <v>0</v>
      </c>
      <c r="O53" s="757">
        <f t="shared" ca="1" si="6"/>
        <v>0</v>
      </c>
      <c r="P53" s="757">
        <f>P41+P46+P48</f>
        <v>0</v>
      </c>
      <c r="Q53" s="758">
        <f t="shared" si="6"/>
        <v>0</v>
      </c>
      <c r="R53" s="759">
        <f ca="1">R41+R46+R48</f>
        <v>87631.981055691955</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0.15676868719232401</v>
      </c>
      <c r="D55" s="823">
        <f t="shared" ca="1" si="7"/>
        <v>0</v>
      </c>
      <c r="E55" s="823">
        <f t="shared" ca="1" si="7"/>
        <v>0.20200000000000001</v>
      </c>
      <c r="F55" s="823">
        <f t="shared" si="7"/>
        <v>0.22700000000000004</v>
      </c>
      <c r="G55" s="823">
        <f t="shared" ca="1" si="7"/>
        <v>0.26700000000000002</v>
      </c>
      <c r="H55" s="823">
        <f t="shared" si="7"/>
        <v>0.26699999999999996</v>
      </c>
      <c r="I55" s="823">
        <f t="shared" si="7"/>
        <v>0.249</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11397.893748012835</v>
      </c>
      <c r="C64" s="779">
        <f>'lokale energieproductie'!B4</f>
        <v>11397.893748012835</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1485.437011172286</v>
      </c>
      <c r="C66" s="779">
        <f>'lokale energieproductie'!B6</f>
        <v>1485.437011172286</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12883.330759185121</v>
      </c>
      <c r="C69" s="787">
        <f>SUM(C64:C68)</f>
        <v>12883.330759185121</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21722.811199256288</v>
      </c>
      <c r="C4" s="461">
        <f>huishoudens!C8</f>
        <v>0</v>
      </c>
      <c r="D4" s="461">
        <f>huishoudens!D8</f>
        <v>47742.93137674695</v>
      </c>
      <c r="E4" s="461">
        <f>huishoudens!E8</f>
        <v>902.06020466542202</v>
      </c>
      <c r="F4" s="461">
        <f>huishoudens!F8</f>
        <v>8708.1242281768318</v>
      </c>
      <c r="G4" s="461">
        <f>huishoudens!G8</f>
        <v>0</v>
      </c>
      <c r="H4" s="461">
        <f>huishoudens!H8</f>
        <v>0</v>
      </c>
      <c r="I4" s="461">
        <f>huishoudens!I8</f>
        <v>0</v>
      </c>
      <c r="J4" s="461">
        <f>huishoudens!J8</f>
        <v>174.98489498098039</v>
      </c>
      <c r="K4" s="461">
        <f>huishoudens!K8</f>
        <v>0</v>
      </c>
      <c r="L4" s="461">
        <f>huishoudens!L8</f>
        <v>0</v>
      </c>
      <c r="M4" s="461">
        <f>huishoudens!M8</f>
        <v>0</v>
      </c>
      <c r="N4" s="461">
        <f>huishoudens!N8</f>
        <v>5446.8927765312037</v>
      </c>
      <c r="O4" s="461">
        <f>huishoudens!O8</f>
        <v>59.406666666666666</v>
      </c>
      <c r="P4" s="462">
        <f>huishoudens!P8</f>
        <v>76.266666666666666</v>
      </c>
      <c r="Q4" s="463">
        <f>SUM(B4:P4)</f>
        <v>84833.478013691012</v>
      </c>
    </row>
    <row r="5" spans="1:17">
      <c r="A5" s="460" t="s">
        <v>156</v>
      </c>
      <c r="B5" s="461">
        <f ca="1">tertiair!B16</f>
        <v>15740.165942566451</v>
      </c>
      <c r="C5" s="461">
        <f ca="1">tertiair!C16</f>
        <v>0</v>
      </c>
      <c r="D5" s="461">
        <f ca="1">tertiair!D16</f>
        <v>22103.982706840747</v>
      </c>
      <c r="E5" s="461">
        <f>tertiair!E16</f>
        <v>324.10459448528451</v>
      </c>
      <c r="F5" s="461">
        <f ca="1">tertiair!F16</f>
        <v>3685.0710138469599</v>
      </c>
      <c r="G5" s="461">
        <f>tertiair!G16</f>
        <v>0</v>
      </c>
      <c r="H5" s="461">
        <f>tertiair!H16</f>
        <v>0</v>
      </c>
      <c r="I5" s="461">
        <f>tertiair!I16</f>
        <v>0</v>
      </c>
      <c r="J5" s="461">
        <f>tertiair!J16</f>
        <v>0</v>
      </c>
      <c r="K5" s="461">
        <f>tertiair!K16</f>
        <v>0</v>
      </c>
      <c r="L5" s="461">
        <f ca="1">tertiair!L16</f>
        <v>0</v>
      </c>
      <c r="M5" s="461">
        <f>tertiair!M16</f>
        <v>0</v>
      </c>
      <c r="N5" s="461">
        <f ca="1">tertiair!N16</f>
        <v>379.56400769044922</v>
      </c>
      <c r="O5" s="461">
        <f>tertiair!O16</f>
        <v>1.5633333333333335</v>
      </c>
      <c r="P5" s="462">
        <f>tertiair!P16</f>
        <v>19.066666666666666</v>
      </c>
      <c r="Q5" s="460">
        <f t="shared" ref="Q5:Q13" ca="1" si="0">SUM(B5:P5)</f>
        <v>42253.518265429891</v>
      </c>
    </row>
    <row r="6" spans="1:17">
      <c r="A6" s="460" t="s">
        <v>195</v>
      </c>
      <c r="B6" s="461">
        <f>'openbare verlichting'!B8</f>
        <v>835.72500000000002</v>
      </c>
      <c r="C6" s="461"/>
      <c r="D6" s="461"/>
      <c r="E6" s="461"/>
      <c r="F6" s="461"/>
      <c r="G6" s="461"/>
      <c r="H6" s="461"/>
      <c r="I6" s="461"/>
      <c r="J6" s="461"/>
      <c r="K6" s="461"/>
      <c r="L6" s="461"/>
      <c r="M6" s="461"/>
      <c r="N6" s="461"/>
      <c r="O6" s="461"/>
      <c r="P6" s="462"/>
      <c r="Q6" s="460">
        <f t="shared" si="0"/>
        <v>835.72500000000002</v>
      </c>
    </row>
    <row r="7" spans="1:17">
      <c r="A7" s="460" t="s">
        <v>112</v>
      </c>
      <c r="B7" s="461">
        <f>landbouw!B8</f>
        <v>371.12623926768151</v>
      </c>
      <c r="C7" s="461">
        <f>landbouw!C8</f>
        <v>0</v>
      </c>
      <c r="D7" s="461">
        <f>landbouw!D8</f>
        <v>5596.3940831932705</v>
      </c>
      <c r="E7" s="461">
        <f>landbouw!E8</f>
        <v>3.8865143231654899</v>
      </c>
      <c r="F7" s="461">
        <f>landbouw!F8</f>
        <v>1906.1634571824106</v>
      </c>
      <c r="G7" s="461">
        <f>landbouw!G8</f>
        <v>0</v>
      </c>
      <c r="H7" s="461">
        <f>landbouw!H8</f>
        <v>0</v>
      </c>
      <c r="I7" s="461">
        <f>landbouw!I8</f>
        <v>0</v>
      </c>
      <c r="J7" s="461">
        <f>landbouw!J8</f>
        <v>33.144899627834818</v>
      </c>
      <c r="K7" s="461">
        <f>landbouw!K8</f>
        <v>0</v>
      </c>
      <c r="L7" s="461">
        <f>landbouw!L8</f>
        <v>0</v>
      </c>
      <c r="M7" s="461">
        <f>landbouw!M8</f>
        <v>0</v>
      </c>
      <c r="N7" s="461">
        <f>landbouw!N8</f>
        <v>0</v>
      </c>
      <c r="O7" s="461">
        <f>landbouw!O8</f>
        <v>0</v>
      </c>
      <c r="P7" s="462">
        <f>landbouw!P8</f>
        <v>0</v>
      </c>
      <c r="Q7" s="460">
        <f t="shared" si="0"/>
        <v>7910.715193594363</v>
      </c>
    </row>
    <row r="8" spans="1:17">
      <c r="A8" s="460" t="s">
        <v>656</v>
      </c>
      <c r="B8" s="461">
        <f>industrie!B18</f>
        <v>5303.8701102813893</v>
      </c>
      <c r="C8" s="461">
        <f>industrie!C18</f>
        <v>0</v>
      </c>
      <c r="D8" s="461">
        <f>industrie!D18</f>
        <v>2395.9508110863562</v>
      </c>
      <c r="E8" s="461">
        <f>industrie!E18</f>
        <v>55.455375794626889</v>
      </c>
      <c r="F8" s="461">
        <f>industrie!F18</f>
        <v>1616.1916081600043</v>
      </c>
      <c r="G8" s="461">
        <f>industrie!G18</f>
        <v>0</v>
      </c>
      <c r="H8" s="461">
        <f>industrie!H18</f>
        <v>0</v>
      </c>
      <c r="I8" s="461">
        <f>industrie!I18</f>
        <v>0</v>
      </c>
      <c r="J8" s="461">
        <f>industrie!J18</f>
        <v>28.549407357915012</v>
      </c>
      <c r="K8" s="461">
        <f>industrie!K18</f>
        <v>0</v>
      </c>
      <c r="L8" s="461">
        <f>industrie!L18</f>
        <v>0</v>
      </c>
      <c r="M8" s="461">
        <f>industrie!M18</f>
        <v>0</v>
      </c>
      <c r="N8" s="461">
        <f>industrie!N18</f>
        <v>149.16151029447286</v>
      </c>
      <c r="O8" s="461">
        <f>industrie!O18</f>
        <v>0</v>
      </c>
      <c r="P8" s="462">
        <f>industrie!P18</f>
        <v>0</v>
      </c>
      <c r="Q8" s="460">
        <f t="shared" si="0"/>
        <v>9549.1788229747654</v>
      </c>
    </row>
    <row r="9" spans="1:17" s="466" customFormat="1">
      <c r="A9" s="464" t="s">
        <v>574</v>
      </c>
      <c r="B9" s="465">
        <f>transport!B14</f>
        <v>1.9692112111467004</v>
      </c>
      <c r="C9" s="465">
        <f>transport!C14</f>
        <v>0</v>
      </c>
      <c r="D9" s="465">
        <f>transport!D14</f>
        <v>9.0415242158432161</v>
      </c>
      <c r="E9" s="465">
        <f>transport!E14</f>
        <v>1107.7178360914722</v>
      </c>
      <c r="F9" s="465">
        <f>transport!F14</f>
        <v>0</v>
      </c>
      <c r="G9" s="465">
        <f>transport!G14</f>
        <v>194385.51920961219</v>
      </c>
      <c r="H9" s="465">
        <f>transport!H14</f>
        <v>31607.991793332571</v>
      </c>
      <c r="I9" s="465">
        <f>transport!I14</f>
        <v>0</v>
      </c>
      <c r="J9" s="465">
        <f>transport!J14</f>
        <v>0</v>
      </c>
      <c r="K9" s="465">
        <f>transport!K14</f>
        <v>0</v>
      </c>
      <c r="L9" s="465">
        <f>transport!L14</f>
        <v>0</v>
      </c>
      <c r="M9" s="465">
        <f>transport!M14</f>
        <v>9856.3593958271013</v>
      </c>
      <c r="N9" s="465">
        <f>transport!N14</f>
        <v>0</v>
      </c>
      <c r="O9" s="465">
        <f>transport!O14</f>
        <v>0</v>
      </c>
      <c r="P9" s="465">
        <f>transport!P14</f>
        <v>0</v>
      </c>
      <c r="Q9" s="464">
        <f>SUM(B9:P9)</f>
        <v>236968.59897029033</v>
      </c>
    </row>
    <row r="10" spans="1:17">
      <c r="A10" s="460" t="s">
        <v>564</v>
      </c>
      <c r="B10" s="461">
        <f>transport!B54</f>
        <v>351.87245380712636</v>
      </c>
      <c r="C10" s="461">
        <f>transport!C54</f>
        <v>0</v>
      </c>
      <c r="D10" s="461">
        <f>transport!D54</f>
        <v>0</v>
      </c>
      <c r="E10" s="461">
        <f>transport!E54</f>
        <v>0</v>
      </c>
      <c r="F10" s="461">
        <f>transport!F54</f>
        <v>0</v>
      </c>
      <c r="G10" s="461">
        <f>transport!G54</f>
        <v>1159.6709931193491</v>
      </c>
      <c r="H10" s="461">
        <f>transport!H54</f>
        <v>0</v>
      </c>
      <c r="I10" s="461">
        <f>transport!I54</f>
        <v>0</v>
      </c>
      <c r="J10" s="461">
        <f>transport!J54</f>
        <v>0</v>
      </c>
      <c r="K10" s="461">
        <f>transport!K54</f>
        <v>0</v>
      </c>
      <c r="L10" s="461">
        <f>transport!L54</f>
        <v>0</v>
      </c>
      <c r="M10" s="461">
        <f>transport!M54</f>
        <v>49.431736273223059</v>
      </c>
      <c r="N10" s="461">
        <f>transport!N54</f>
        <v>0</v>
      </c>
      <c r="O10" s="461">
        <f>transport!O54</f>
        <v>0</v>
      </c>
      <c r="P10" s="462">
        <f>transport!P54</f>
        <v>0</v>
      </c>
      <c r="Q10" s="460">
        <f t="shared" si="0"/>
        <v>1560.9751831996987</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44327.540156390074</v>
      </c>
      <c r="C14" s="471">
        <f t="shared" ref="C14:Q14" ca="1" si="1">SUM(C4:C13)</f>
        <v>0</v>
      </c>
      <c r="D14" s="471">
        <f t="shared" ca="1" si="1"/>
        <v>77848.300502083177</v>
      </c>
      <c r="E14" s="471">
        <f t="shared" si="1"/>
        <v>2393.2245253599713</v>
      </c>
      <c r="F14" s="471">
        <f t="shared" ca="1" si="1"/>
        <v>15915.550307366208</v>
      </c>
      <c r="G14" s="471">
        <f t="shared" si="1"/>
        <v>195545.19020273155</v>
      </c>
      <c r="H14" s="471">
        <f t="shared" si="1"/>
        <v>31607.991793332571</v>
      </c>
      <c r="I14" s="471">
        <f t="shared" si="1"/>
        <v>0</v>
      </c>
      <c r="J14" s="471">
        <f t="shared" si="1"/>
        <v>236.6792019667302</v>
      </c>
      <c r="K14" s="471">
        <f t="shared" si="1"/>
        <v>0</v>
      </c>
      <c r="L14" s="471">
        <f t="shared" ca="1" si="1"/>
        <v>0</v>
      </c>
      <c r="M14" s="471">
        <f t="shared" si="1"/>
        <v>9905.7911321003248</v>
      </c>
      <c r="N14" s="471">
        <f t="shared" ca="1" si="1"/>
        <v>5975.6182945161254</v>
      </c>
      <c r="O14" s="471">
        <f t="shared" si="1"/>
        <v>60.97</v>
      </c>
      <c r="P14" s="472">
        <f t="shared" si="1"/>
        <v>95.333333333333329</v>
      </c>
      <c r="Q14" s="472">
        <f t="shared" ca="1" si="1"/>
        <v>383912.18944918009</v>
      </c>
    </row>
    <row r="16" spans="1:17">
      <c r="A16" s="474" t="s">
        <v>569</v>
      </c>
      <c r="B16" s="828">
        <f ca="1">huishoudens!B10</f>
        <v>0.15676868719232398</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3405.4565938341211</v>
      </c>
      <c r="C21" s="461">
        <f t="shared" ref="C21:C30" ca="1" si="3">C4*$C$16</f>
        <v>0</v>
      </c>
      <c r="D21" s="461">
        <f t="shared" ref="D21:D30" si="4">D4*$D$16</f>
        <v>9644.0721381028852</v>
      </c>
      <c r="E21" s="461">
        <f t="shared" ref="E21:E30" si="5">E4*$E$16</f>
        <v>204.76766645905082</v>
      </c>
      <c r="F21" s="461">
        <f t="shared" ref="F21:F30" si="6">F4*$F$16</f>
        <v>2325.0691689232144</v>
      </c>
      <c r="G21" s="461">
        <f t="shared" ref="G21:G30" si="7">G4*$G$16</f>
        <v>0</v>
      </c>
      <c r="H21" s="461">
        <f t="shared" ref="H21:H30" si="8">H4*$H$16</f>
        <v>0</v>
      </c>
      <c r="I21" s="461">
        <f t="shared" ref="I21:I30" si="9">I4*$I$16</f>
        <v>0</v>
      </c>
      <c r="J21" s="461">
        <f t="shared" ref="J21:J30" si="10">J4*$J$16</f>
        <v>61.944652823267056</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15641.310220142541</v>
      </c>
    </row>
    <row r="22" spans="1:17">
      <c r="A22" s="460" t="s">
        <v>156</v>
      </c>
      <c r="B22" s="461">
        <f t="shared" ca="1" si="2"/>
        <v>2467.5651510054713</v>
      </c>
      <c r="C22" s="461">
        <f t="shared" ca="1" si="3"/>
        <v>0</v>
      </c>
      <c r="D22" s="461">
        <f t="shared" ca="1" si="4"/>
        <v>4465.004506781831</v>
      </c>
      <c r="E22" s="461">
        <f t="shared" si="5"/>
        <v>73.571742948159581</v>
      </c>
      <c r="F22" s="461">
        <f t="shared" ca="1" si="6"/>
        <v>983.91396069713835</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7990.0553614326</v>
      </c>
    </row>
    <row r="23" spans="1:17">
      <c r="A23" s="460" t="s">
        <v>195</v>
      </c>
      <c r="B23" s="461">
        <f t="shared" ca="1" si="2"/>
        <v>131.01551110380495</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131.01551110380495</v>
      </c>
    </row>
    <row r="24" spans="1:17">
      <c r="A24" s="460" t="s">
        <v>112</v>
      </c>
      <c r="B24" s="461">
        <f t="shared" ca="1" si="2"/>
        <v>58.180973312618747</v>
      </c>
      <c r="C24" s="461">
        <f t="shared" ca="1" si="3"/>
        <v>0</v>
      </c>
      <c r="D24" s="461">
        <f t="shared" si="4"/>
        <v>1130.4716048050407</v>
      </c>
      <c r="E24" s="461">
        <f t="shared" si="5"/>
        <v>0.88223875135856622</v>
      </c>
      <c r="F24" s="461">
        <f t="shared" si="6"/>
        <v>508.94564306770366</v>
      </c>
      <c r="G24" s="461">
        <f t="shared" si="7"/>
        <v>0</v>
      </c>
      <c r="H24" s="461">
        <f t="shared" si="8"/>
        <v>0</v>
      </c>
      <c r="I24" s="461">
        <f t="shared" si="9"/>
        <v>0</v>
      </c>
      <c r="J24" s="461">
        <f t="shared" si="10"/>
        <v>11.733294468253526</v>
      </c>
      <c r="K24" s="461">
        <f t="shared" si="11"/>
        <v>0</v>
      </c>
      <c r="L24" s="461">
        <f t="shared" si="12"/>
        <v>0</v>
      </c>
      <c r="M24" s="461">
        <f t="shared" si="13"/>
        <v>0</v>
      </c>
      <c r="N24" s="461">
        <f t="shared" si="14"/>
        <v>0</v>
      </c>
      <c r="O24" s="461">
        <f t="shared" si="15"/>
        <v>0</v>
      </c>
      <c r="P24" s="462">
        <f t="shared" si="16"/>
        <v>0</v>
      </c>
      <c r="Q24" s="460">
        <f t="shared" ca="1" si="17"/>
        <v>1710.2137544049751</v>
      </c>
    </row>
    <row r="25" spans="1:17">
      <c r="A25" s="460" t="s">
        <v>656</v>
      </c>
      <c r="B25" s="461">
        <f t="shared" ca="1" si="2"/>
        <v>831.48075422741999</v>
      </c>
      <c r="C25" s="461">
        <f t="shared" ca="1" si="3"/>
        <v>0</v>
      </c>
      <c r="D25" s="461">
        <f t="shared" si="4"/>
        <v>483.98206383944398</v>
      </c>
      <c r="E25" s="461">
        <f t="shared" si="5"/>
        <v>12.588370305380304</v>
      </c>
      <c r="F25" s="461">
        <f t="shared" si="6"/>
        <v>431.52315937872118</v>
      </c>
      <c r="G25" s="461">
        <f t="shared" si="7"/>
        <v>0</v>
      </c>
      <c r="H25" s="461">
        <f t="shared" si="8"/>
        <v>0</v>
      </c>
      <c r="I25" s="461">
        <f t="shared" si="9"/>
        <v>0</v>
      </c>
      <c r="J25" s="461">
        <f t="shared" si="10"/>
        <v>10.106490204701913</v>
      </c>
      <c r="K25" s="461">
        <f t="shared" si="11"/>
        <v>0</v>
      </c>
      <c r="L25" s="461">
        <f t="shared" si="12"/>
        <v>0</v>
      </c>
      <c r="M25" s="461">
        <f t="shared" si="13"/>
        <v>0</v>
      </c>
      <c r="N25" s="461">
        <f t="shared" si="14"/>
        <v>0</v>
      </c>
      <c r="O25" s="461">
        <f t="shared" si="15"/>
        <v>0</v>
      </c>
      <c r="P25" s="462">
        <f t="shared" si="16"/>
        <v>0</v>
      </c>
      <c r="Q25" s="460">
        <f t="shared" ca="1" si="17"/>
        <v>1769.6808379556674</v>
      </c>
    </row>
    <row r="26" spans="1:17" s="466" customFormat="1">
      <c r="A26" s="464" t="s">
        <v>574</v>
      </c>
      <c r="B26" s="822">
        <f t="shared" ca="1" si="2"/>
        <v>0.30871065637587453</v>
      </c>
      <c r="C26" s="465">
        <f t="shared" ca="1" si="3"/>
        <v>0</v>
      </c>
      <c r="D26" s="465">
        <f t="shared" si="4"/>
        <v>1.8263878916003298</v>
      </c>
      <c r="E26" s="465">
        <f t="shared" si="5"/>
        <v>251.4519487927642</v>
      </c>
      <c r="F26" s="465">
        <f t="shared" si="6"/>
        <v>0</v>
      </c>
      <c r="G26" s="465">
        <f t="shared" si="7"/>
        <v>51900.933628966457</v>
      </c>
      <c r="H26" s="465">
        <f t="shared" si="8"/>
        <v>7870.3899565398096</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60024.910632847008</v>
      </c>
    </row>
    <row r="27" spans="1:17">
      <c r="A27" s="460" t="s">
        <v>564</v>
      </c>
      <c r="B27" s="461">
        <f t="shared" ca="1" si="2"/>
        <v>55.162582642484864</v>
      </c>
      <c r="C27" s="461">
        <f t="shared" ca="1" si="3"/>
        <v>0</v>
      </c>
      <c r="D27" s="461">
        <f t="shared" si="4"/>
        <v>0</v>
      </c>
      <c r="E27" s="461">
        <f t="shared" si="5"/>
        <v>0</v>
      </c>
      <c r="F27" s="461">
        <f t="shared" si="6"/>
        <v>0</v>
      </c>
      <c r="G27" s="461">
        <f t="shared" si="7"/>
        <v>309.63215516286624</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364.79473780535113</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6949.1702767822972</v>
      </c>
      <c r="C31" s="471">
        <f t="shared" ca="1" si="18"/>
        <v>0</v>
      </c>
      <c r="D31" s="471">
        <f t="shared" ca="1" si="18"/>
        <v>15725.356701420802</v>
      </c>
      <c r="E31" s="471">
        <f t="shared" si="18"/>
        <v>543.26196725671343</v>
      </c>
      <c r="F31" s="471">
        <f t="shared" ca="1" si="18"/>
        <v>4249.4519320667778</v>
      </c>
      <c r="G31" s="471">
        <f t="shared" si="18"/>
        <v>52210.565784129321</v>
      </c>
      <c r="H31" s="471">
        <f t="shared" si="18"/>
        <v>7870.3899565398096</v>
      </c>
      <c r="I31" s="471">
        <f t="shared" si="18"/>
        <v>0</v>
      </c>
      <c r="J31" s="471">
        <f t="shared" si="18"/>
        <v>83.784437496222495</v>
      </c>
      <c r="K31" s="471">
        <f t="shared" si="18"/>
        <v>0</v>
      </c>
      <c r="L31" s="471">
        <f t="shared" ca="1" si="18"/>
        <v>0</v>
      </c>
      <c r="M31" s="471">
        <f t="shared" si="18"/>
        <v>0</v>
      </c>
      <c r="N31" s="471">
        <f t="shared" ca="1" si="18"/>
        <v>0</v>
      </c>
      <c r="O31" s="471">
        <f t="shared" si="18"/>
        <v>0</v>
      </c>
      <c r="P31" s="472">
        <f t="shared" si="18"/>
        <v>0</v>
      </c>
      <c r="Q31" s="472">
        <f t="shared" ca="1" si="18"/>
        <v>87631.981055691955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0.15676868719232398</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0.15676868719232398</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0.15676868719232398</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2018-06-27T09:02:33Z</dcterms:modified>
</cp:coreProperties>
</file>