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C17"/>
  <c r="B17"/>
  <c r="K11"/>
  <c r="J11"/>
  <c r="I11"/>
  <c r="H11"/>
  <c r="G11"/>
  <c r="F11"/>
  <c r="E11"/>
  <c r="D11"/>
  <c r="C11"/>
  <c r="L8"/>
  <c r="L9" s="1"/>
  <c r="K8"/>
  <c r="K9" s="1"/>
  <c r="I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E79"/>
  <c r="B79"/>
  <c r="M78"/>
  <c r="L78"/>
  <c r="H78"/>
  <c r="G78"/>
  <c r="E78"/>
  <c r="J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L68"/>
  <c r="H68"/>
  <c r="H69" s="1"/>
  <c r="C97" i="18"/>
  <c r="I100" s="1"/>
  <c r="H7" s="1"/>
  <c r="I67" i="14" s="1"/>
  <c r="F16" i="16"/>
  <c r="D13" i="15"/>
  <c r="B16" i="18"/>
  <c r="B78" i="14" s="1"/>
  <c r="C13" i="15"/>
  <c r="D12" i="22"/>
  <c r="E17" i="14"/>
  <c r="D13" i="48"/>
  <c r="D30" s="1"/>
  <c r="D31" i="20"/>
  <c r="E43" i="14" s="1"/>
  <c r="I101" i="18"/>
  <c r="H16" s="1"/>
  <c r="I78" i="14" s="1"/>
  <c r="E101" i="18"/>
  <c r="E16" s="1"/>
  <c r="F78" i="14" s="1"/>
  <c r="F101" i="18"/>
  <c r="H101"/>
  <c r="D101"/>
  <c r="G101"/>
  <c r="I16" s="1"/>
  <c r="J78" i="14" s="1"/>
  <c r="C101" i="18"/>
  <c r="B101"/>
  <c r="C16" s="1"/>
  <c r="D78" i="14" s="1"/>
  <c r="E12" i="22"/>
  <c r="F17" i="14"/>
  <c r="E13" i="48"/>
  <c r="B12" i="22"/>
  <c r="C17" i="14"/>
  <c r="B13" i="48"/>
  <c r="B13" i="16"/>
  <c r="C35"/>
  <c r="C64" i="14"/>
  <c r="D11" i="48"/>
  <c r="D14" i="15"/>
  <c r="K19" i="19"/>
  <c r="L35" i="14" s="1"/>
  <c r="I19" i="19"/>
  <c r="J35" i="14" s="1"/>
  <c r="B6" i="48"/>
  <c r="Q6" s="1"/>
  <c r="P22" i="16"/>
  <c r="Q39" i="14" s="1"/>
  <c r="P18" i="16"/>
  <c r="P8" i="48" s="1"/>
  <c r="P25" s="1"/>
  <c r="J8" i="17"/>
  <c r="J7" i="48" s="1"/>
  <c r="J24" s="1"/>
  <c r="G19" i="18"/>
  <c r="K19"/>
  <c r="L16" i="16"/>
  <c r="L18" s="1"/>
  <c r="N6" i="17"/>
  <c r="C100" i="18"/>
  <c r="G100"/>
  <c r="B81" i="14"/>
  <c r="F100" i="18"/>
  <c r="E31" i="20"/>
  <c r="F43" i="14" s="1"/>
  <c r="H14" i="22"/>
  <c r="F8" i="17"/>
  <c r="G22" i="14" s="1"/>
  <c r="D100" i="18"/>
  <c r="H100"/>
  <c r="E9" i="14"/>
  <c r="J9"/>
  <c r="J15" s="1"/>
  <c r="N9"/>
  <c r="I11" i="48"/>
  <c r="M11"/>
  <c r="M28" s="1"/>
  <c r="M19" i="19"/>
  <c r="N35" i="14" s="1"/>
  <c r="J7" i="15"/>
  <c r="O5" i="16"/>
  <c r="B7" i="18"/>
  <c r="B67" i="14" s="1"/>
  <c r="C80"/>
  <c r="C16" i="15"/>
  <c r="D10" i="14" s="1"/>
  <c r="L6" i="17"/>
  <c r="E100" i="18"/>
  <c r="E7" s="1"/>
  <c r="F67" i="14" s="1"/>
  <c r="F69" s="1"/>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L41" i="14"/>
  <c r="N15"/>
  <c r="H15"/>
  <c r="L15"/>
  <c r="M46"/>
  <c r="P20"/>
  <c r="K20"/>
  <c r="G20"/>
  <c r="L69"/>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9" s="1"/>
  <c r="H21"/>
  <c r="K24"/>
  <c r="K25"/>
  <c r="Q11" i="14"/>
  <c r="P12" i="13"/>
  <c r="Q37" i="14" s="1"/>
  <c r="P4" i="48"/>
  <c r="P21" s="1"/>
  <c r="D12" i="13"/>
  <c r="E37" i="14" s="1"/>
  <c r="D4" i="48"/>
  <c r="D21" s="1"/>
  <c r="E11" i="14"/>
  <c r="F23" i="48"/>
  <c r="J23"/>
  <c r="N23"/>
  <c r="N26"/>
  <c r="D28"/>
  <c r="H28"/>
  <c r="L28"/>
  <c r="F30"/>
  <c r="J30"/>
  <c r="N30"/>
  <c r="G23"/>
  <c r="K23"/>
  <c r="O23"/>
  <c r="G25"/>
  <c r="F26"/>
  <c r="J26"/>
  <c r="O26"/>
  <c r="F27"/>
  <c r="I28"/>
  <c r="D29"/>
  <c r="H29"/>
  <c r="P29"/>
  <c r="K30"/>
  <c r="O30"/>
  <c r="C22" i="13"/>
  <c r="C21"/>
  <c r="C20"/>
  <c r="D23" i="48"/>
  <c r="H23"/>
  <c r="P23"/>
  <c r="H25"/>
  <c r="P26"/>
  <c r="F28"/>
  <c r="J28"/>
  <c r="N28"/>
  <c r="P30"/>
  <c r="G22"/>
  <c r="E23"/>
  <c r="I23"/>
  <c r="O24"/>
  <c r="I25"/>
  <c r="P11" i="14"/>
  <c r="O12" i="13"/>
  <c r="P37" i="14" s="1"/>
  <c r="E9" i="18"/>
  <c r="H9"/>
  <c r="B10" i="48"/>
  <c r="C18" i="14"/>
  <c r="J12" i="17"/>
  <c r="K48" i="14" s="1"/>
  <c r="P24" i="48"/>
  <c r="E5" i="17"/>
  <c r="C8"/>
  <c r="G24" i="48"/>
  <c r="K14"/>
  <c r="I24"/>
  <c r="G81" i="14"/>
  <c r="D79"/>
  <c r="H79"/>
  <c r="H81" s="1"/>
  <c r="L79"/>
  <c r="L81" s="1"/>
  <c r="F79"/>
  <c r="F81" s="1"/>
  <c r="J79"/>
  <c r="E68"/>
  <c r="E69" s="1"/>
  <c r="I68"/>
  <c r="I69" s="1"/>
  <c r="M68"/>
  <c r="M69" s="1"/>
  <c r="D19" i="18"/>
  <c r="H19"/>
  <c r="L19"/>
  <c r="B68" i="14"/>
  <c r="G68"/>
  <c r="G69" s="1"/>
  <c r="K68"/>
  <c r="E81"/>
  <c r="I81"/>
  <c r="M81"/>
  <c r="B19" i="18"/>
  <c r="F19"/>
  <c r="D11" i="14"/>
  <c r="C4" i="48"/>
  <c r="M8" i="18"/>
  <c r="M17"/>
  <c r="M18"/>
  <c r="D13" i="14"/>
  <c r="N8" i="17" l="1"/>
  <c r="N5"/>
  <c r="O78" i="14"/>
  <c r="F7" i="48"/>
  <c r="F24" s="1"/>
  <c r="L30"/>
  <c r="L23"/>
  <c r="B100" i="18"/>
  <c r="C7" s="1"/>
  <c r="B35" i="13"/>
  <c r="L8" i="17"/>
  <c r="L7" i="48" s="1"/>
  <c r="L24" s="1"/>
  <c r="L5" i="17"/>
  <c r="J81" i="14"/>
  <c r="G31" i="20"/>
  <c r="H43" i="14" s="1"/>
  <c r="F12" i="17"/>
  <c r="G48" i="14" s="1"/>
  <c r="J41"/>
  <c r="J53" s="1"/>
  <c r="G13" i="48"/>
  <c r="G30" s="1"/>
  <c r="E19" i="18"/>
  <c r="H17" i="14"/>
  <c r="I19" i="18"/>
  <c r="J16"/>
  <c r="K78" i="14" s="1"/>
  <c r="D81"/>
  <c r="O79"/>
  <c r="O81" s="1"/>
  <c r="B17" i="6" s="1"/>
  <c r="M23" i="48"/>
  <c r="L27"/>
  <c r="B9" i="18"/>
  <c r="M31" i="20"/>
  <c r="N43" i="14" s="1"/>
  <c r="M12" i="22"/>
  <c r="O18" i="16"/>
  <c r="B34" i="13"/>
  <c r="I7" i="18"/>
  <c r="K22" i="14"/>
  <c r="M13"/>
  <c r="L8" i="48"/>
  <c r="L25" s="1"/>
  <c r="L22" i="16"/>
  <c r="M39" i="14" s="1"/>
  <c r="J19" i="18"/>
  <c r="C7" i="48"/>
  <c r="D22" i="14"/>
  <c r="M22" i="48"/>
  <c r="B36" i="13"/>
  <c r="B48" s="1"/>
  <c r="C48" s="1"/>
  <c r="N5" s="1"/>
  <c r="N8" s="1"/>
  <c r="N4" i="48" s="1"/>
  <c r="N21" s="1"/>
  <c r="J7" i="18"/>
  <c r="O68" i="14"/>
  <c r="C68"/>
  <c r="F22"/>
  <c r="E8" i="17"/>
  <c r="D8" i="48"/>
  <c r="D25" s="1"/>
  <c r="D18" i="16"/>
  <c r="D22" s="1"/>
  <c r="E39" i="14" s="1"/>
  <c r="M22"/>
  <c r="M16" i="18"/>
  <c r="C79" i="14"/>
  <c r="C19" i="18"/>
  <c r="B14" i="22"/>
  <c r="B9" i="48" s="1"/>
  <c r="E14" i="22"/>
  <c r="F19" i="14" s="1"/>
  <c r="F20" s="1"/>
  <c r="D14" i="22"/>
  <c r="D9" i="48" s="1"/>
  <c r="D26" s="1"/>
  <c r="M51" i="22"/>
  <c r="M50" s="1"/>
  <c r="M54" s="1"/>
  <c r="G51"/>
  <c r="G50" s="1"/>
  <c r="G54" s="1"/>
  <c r="N17" i="14"/>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D20" i="15"/>
  <c r="E10" i="14"/>
  <c r="F5" i="15"/>
  <c r="F16" s="1"/>
  <c r="B5"/>
  <c r="B16" s="1"/>
  <c r="E13" i="14"/>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B46" i="13"/>
  <c r="E5" s="1"/>
  <c r="E8" s="1"/>
  <c r="E12" s="1"/>
  <c r="F37" i="14" s="1"/>
  <c r="K31" i="48"/>
  <c r="L26"/>
  <c r="M29"/>
  <c r="M25"/>
  <c r="M24"/>
  <c r="I31"/>
  <c r="C50" i="13"/>
  <c r="J5" s="1"/>
  <c r="J8" s="1"/>
  <c r="E7" i="48"/>
  <c r="E24" s="1"/>
  <c r="E12" i="17"/>
  <c r="F48" i="14" s="1"/>
  <c r="C5" i="48"/>
  <c r="M19" i="18"/>
  <c r="O22" i="14" l="1"/>
  <c r="R22" s="1"/>
  <c r="N12" i="17"/>
  <c r="O48" i="14" s="1"/>
  <c r="N7" i="48"/>
  <c r="N24" s="1"/>
  <c r="K81" i="14"/>
  <c r="C78"/>
  <c r="R17"/>
  <c r="C81"/>
  <c r="L12" i="17"/>
  <c r="M48" i="14" s="1"/>
  <c r="C14" i="48"/>
  <c r="D67" i="14"/>
  <c r="C9" i="18"/>
  <c r="E16" i="15"/>
  <c r="E20" s="1"/>
  <c r="F36" i="14" s="1"/>
  <c r="K67"/>
  <c r="K69" s="1"/>
  <c r="J9" i="18"/>
  <c r="J67" i="14"/>
  <c r="I9" i="18"/>
  <c r="M7"/>
  <c r="M9" s="1"/>
  <c r="K10" i="14"/>
  <c r="J16" i="15"/>
  <c r="J5" i="48" s="1"/>
  <c r="J22" s="1"/>
  <c r="O8"/>
  <c r="O25" s="1"/>
  <c r="P13" i="14"/>
  <c r="P15" s="1"/>
  <c r="P23" s="1"/>
  <c r="M14" i="22"/>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M18" i="22"/>
  <c r="N45" i="14" s="1"/>
  <c r="M9" i="48"/>
  <c r="N19" i="14"/>
  <c r="E5" i="48"/>
  <c r="E22" s="1"/>
  <c r="P14"/>
  <c r="F10" i="14"/>
  <c r="B8" i="48"/>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O67" i="14" l="1"/>
  <c r="D69"/>
  <c r="Q7" i="48"/>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F22" i="16" l="1"/>
  <c r="G39" i="14" s="1"/>
  <c r="G41" s="1"/>
  <c r="G53" s="1"/>
  <c r="G55" s="1"/>
  <c r="O69" s="1"/>
  <c r="B9" i="6" s="1"/>
  <c r="B12" s="1"/>
  <c r="F8" i="48"/>
  <c r="F14" s="1"/>
  <c r="N25"/>
  <c r="N31" s="1"/>
  <c r="N14"/>
  <c r="E8"/>
  <c r="J22" i="16"/>
  <c r="K39" i="14" s="1"/>
  <c r="K41" s="1"/>
  <c r="K53" s="1"/>
  <c r="J31" i="48"/>
  <c r="J14"/>
  <c r="R20" i="14"/>
  <c r="N55"/>
  <c r="H55"/>
  <c r="G31" i="48"/>
  <c r="F55" i="14"/>
  <c r="O53"/>
  <c r="M53"/>
  <c r="M55" s="1"/>
  <c r="C12" i="13"/>
  <c r="D37" i="14" s="1"/>
  <c r="D41" s="1"/>
  <c r="C23" i="48"/>
  <c r="C24"/>
  <c r="C27"/>
  <c r="C28"/>
  <c r="C22"/>
  <c r="C25"/>
  <c r="C29"/>
  <c r="C21"/>
  <c r="C26"/>
  <c r="K55" i="14"/>
  <c r="R13"/>
  <c r="R15" s="1"/>
  <c r="F25" i="48" l="1"/>
  <c r="F31" s="1"/>
  <c r="Q8"/>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<sst xmlns="http://schemas.openxmlformats.org/spreadsheetml/2006/main" count="2047" uniqueCount="904">
  <si>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</si>
  <si>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</si>
  <si>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</si>
  <si>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</si>
  <si>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</si>
  <si>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</si>
  <si>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</si>
  <si>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</si>
  <si>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</si>
  <si>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</si>
  <si>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</si>
  <si>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</si>
  <si>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</si>
  <si>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</si>
  <si>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</si>
  <si>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</si>
  <si>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</si>
  <si>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</si>
  <si>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</si>
  <si>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</si>
  <si>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</si>
  <si>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</si>
  <si>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</si>
  <si>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</si>
  <si>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</si>
  <si>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</si>
  <si>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</si>
  <si>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</si>
  <si>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</si>
  <si>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</si>
  <si>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</si>
  <si>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</si>
  <si>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</si>
  <si>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</si>
  <si>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</si>
  <si>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</si>
  <si>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</si>
  <si>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</si>
  <si>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</si>
  <si>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</si>
  <si>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</si>
  <si>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</si>
  <si>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</si>
  <si>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</si>
  <si>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</si>
  <si>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</si>
  <si>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</si>
  <si>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</si>
  <si>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</si>
  <si>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</si>
  <si>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</si>
  <si>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</si>
  <si>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</si>
  <si>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</si>
  <si>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</si>
  <si>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</si>
  <si>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</si>
  <si>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</si>
  <si>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</si>
  <si>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</si>
  <si>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</si>
  <si>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</si>
  <si>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</si>
  <si>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</si>
  <si>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</si>
  <si>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</si>
  <si>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</si>
  <si>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</si>
  <si>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</si>
  <si>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</si>
  <si>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</si>
  <si>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</si>
  <si>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</si>
  <si>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</si>
  <si>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</si>
  <si>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</si>
  <si>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</si>
  <si>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</si>
  <si>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</si>
  <si>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</si>
  <si>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</si>
  <si>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</si>
  <si>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</si>
  <si>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</si>
  <si>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</si>
  <si>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</si>
  <si>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</si>
  <si>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</si>
  <si>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</si>
  <si>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</si>
  <si>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</si>
  <si>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</si>
  <si>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</si>
  <si>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</si>
  <si>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</si>
  <si>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</si>
  <si>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</si>
  <si>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</si>
  <si>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</si>
  <si>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</si>
  <si>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</si>
  <si>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</si>
  <si>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</si>
  <si>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</si>
  <si>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</si>
  <si>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</si>
  <si>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</si>
  <si>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</si>
  <si>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</si>
  <si>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</si>
  <si>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</si>
  <si>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</si>
  <si>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</si>
  <si>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</si>
  <si>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</si>
  <si>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</si>
  <si>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</si>
  <si>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</si>
  <si>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</si>
  <si>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</si>
  <si>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</si>
  <si>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</si>
  <si>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</si>
  <si>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</si>
  <si>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</si>
  <si>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</si>
  <si>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</si>
  <si>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</si>
  <si>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</si>
  <si>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</si>
  <si>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</si>
  <si>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</si>
  <si>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</si>
  <si>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</si>
  <si>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</si>
  <si>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</si>
  <si>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</si>
  <si>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</si>
  <si>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</si>
  <si>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</si>
  <si>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</si>
  <si>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</si>
  <si>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</si>
  <si>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</si>
  <si>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</si>
  <si>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</si>
  <si>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</si>
  <si>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</si>
  <si>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</si>
  <si>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</si>
  <si>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</si>
  <si>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</si>
  <si>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</si>
  <si>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</si>
  <si>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</si>
  <si>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</si>
  <si>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</si>
  <si>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</si>
  <si>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</si>
  <si>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</si>
  <si>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</si>
  <si>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</si>
  <si>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</si>
  <si>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</si>
  <si>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</si>
  <si>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</si>
  <si>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</si>
  <si>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</si>
  <si>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</si>
  <si>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</si>
  <si>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</si>
  <si>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</si>
  <si>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</si>
  <si>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</si>
  <si>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</si>
  <si>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</si>
  <si>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</si>
  <si>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</si>
  <si>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</si>
  <si>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</si>
  <si>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</si>
  <si>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</si>
  <si>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</si>
  <si>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</si>
  <si>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</si>
  <si>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</si>
  <si>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</si>
  <si>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</si>
  <si>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</si>
  <si>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</si>
  <si>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</si>
  <si>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</si>
  <si>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</si>
  <si>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</si>
  <si>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</si>
  <si>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</si>
  <si>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</si>
  <si>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</si>
  <si>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</si>
  <si>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</si>
  <si>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</si>
  <si>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</si>
  <si>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</si>
  <si>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</si>
  <si>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</si>
  <si>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</si>
  <si>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</si>
  <si>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</si>
  <si>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</si>
  <si>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</si>
  <si>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</si>
  <si>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</si>
  <si>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</si>
  <si>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</si>
  <si>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</si>
  <si>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</si>
  <si>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</si>
  <si>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</si>
  <si>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</si>
  <si>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</si>
  <si>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</si>
  <si>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</si>
  <si>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</si>
  <si>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</si>
  <si>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</si>
  <si>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</si>
  <si>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</si>
  <si>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</si>
  <si>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</si>
  <si>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</si>
  <si>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</si>
  <si>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</si>
  <si>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</si>
  <si>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</si>
  <si>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</si>
  <si>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</si>
  <si>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</si>
  <si>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</si>
  <si>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</si>
  <si>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</si>
  <si>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</si>
  <si>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</si>
  <si>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</si>
  <si>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</si>
  <si>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</si>
  <si>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</si>
  <si>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</si>
  <si>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</si>
  <si>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</si>
  <si>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</si>
  <si>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</si>
  <si>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</si>
  <si>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</si>
  <si>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</si>
  <si>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</si>
  <si>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</si>
  <si>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</si>
  <si>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</si>
  <si>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</si>
  <si>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</si>
  <si>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</si>
  <si>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</si>
  <si>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</si>
  <si>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</si>
  <si>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</si>
  <si>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</si>
  <si>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</si>
  <si>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</si>
  <si>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</si>
  <si>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</si>
  <si>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</si>
  <si>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</si>
  <si>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</si>
  <si>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</si>
  <si>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</si>
  <si>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</si>
  <si>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</si>
  <si>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</si>
  <si>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</si>
  <si>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</si>
  <si>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</si>
  <si>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</si>
  <si>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</si>
  <si>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</si>
  <si>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</si>
  <si>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</si>
  <si>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</si>
  <si>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</si>
  <si>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</si>
  <si>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</si>
  <si>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</si>
  <si>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</si>
  <si>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</si>
  <si>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</si>
  <si>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</si>
  <si>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</si>
  <si>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</si>
  <si>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</si>
  <si>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</si>
  <si>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</si>
  <si>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</si>
  <si>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</si>
  <si>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</si>
  <si>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</si>
  <si>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</si>
  <si>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</si>
  <si>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</si>
  <si>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</si>
  <si>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</si>
  <si>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</si>
  <si>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</si>
  <si>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</si>
  <si>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</si>
  <si>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</si>
  <si>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</si>
  <si>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</si>
  <si>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</si>
  <si>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</si>
  <si>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</si>
  <si>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</si>
  <si>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</si>
  <si>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</si>
  <si>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</si>
  <si>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</si>
  <si>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</si>
  <si>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</si>
  <si>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</si>
  <si>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</si>
  <si>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</si>
  <si>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</si>
  <si>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</si>
  <si>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</si>
  <si>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</si>
  <si>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</si>
  <si>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</si>
  <si>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</si>
  <si>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</si>
  <si>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</si>
  <si>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</si>
  <si>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</si>
  <si>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</si>
  <si>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</si>
  <si>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</si>
  <si>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</si>
  <si>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</si>
  <si>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</si>
  <si>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</si>
  <si>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</si>
  <si>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</si>
  <si>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</si>
  <si>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</si>
  <si>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</si>
  <si>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</si>
  <si>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</si>
  <si>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</si>
  <si>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</si>
  <si>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</si>
  <si>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</si>
  <si>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</si>
  <si>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</si>
  <si>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</si>
  <si>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</si>
  <si>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</si>
  <si>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</si>
  <si>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</si>
  <si>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</si>
  <si>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</si>
  <si>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</si>
  <si>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</si>
  <si>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</si>
  <si>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</si>
  <si>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</si>
  <si>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</si>
  <si>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</si>
  <si>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</si>
  <si>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</si>
  <si>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</si>
  <si>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</si>
  <si>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</si>
  <si>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</si>
  <si>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</si>
  <si>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</si>
  <si>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</si>
  <si>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</si>
  <si>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</si>
  <si>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</si>
  <si>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</si>
  <si>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</si>
  <si>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</si>
  <si>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</si>
  <si>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</si>
  <si>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</si>
  <si>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</si>
  <si>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</si>
  <si>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</si>
  <si>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</si>
  <si>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</si>
  <si>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</si>
  <si>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</si>
  <si>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</si>
  <si>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</si>
  <si>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</si>
  <si>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</si>
  <si>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</si>
  <si>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</si>
  <si>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</si>
  <si>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</si>
  <si>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</si>
  <si>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</si>
  <si>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</si>
  <si>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</si>
  <si>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</si>
  <si>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</si>
  <si>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</si>
  <si>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</si>
  <si>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</si>
  <si>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</si>
  <si>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</si>
  <si>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</si>
  <si>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</si>
  <si>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</si>
  <si>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</si>
  <si>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</si>
  <si>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</si>
  <si>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</si>
  <si>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</si>
  <si>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</si>
  <si>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</si>
  <si>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</si>
  <si>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</si>
  <si>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</si>
  <si>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</si>
  <si>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</si>
  <si>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</si>
  <si>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</si>
  <si>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</si>
  <si>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</si>
  <si>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</si>
  <si>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</si>
  <si>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</si>
  <si>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</si>
  <si>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</si>
  <si>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</si>
  <si>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</si>
  <si>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</si>
  <si>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</si>
  <si>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</si>
  <si>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</si>
  <si>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</si>
  <si>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</si>
  <si>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</si>
  <si>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</si>
  <si>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</si>
  <si>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</si>
  <si>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</si>
  <si>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</si>
  <si>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</si>
  <si>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</si>
  <si>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</si>
  <si>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</si>
  <si>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</si>
  <si>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</si>
  <si>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</si>
  <si>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</si>
  <si>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</si>
  <si>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</si>
  <si>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</si>
  <si>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</si>
  <si>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</si>
  <si>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</si>
  <si>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</si>
  <si>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</si>
  <si>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</si>
  <si>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</si>
  <si>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</si>
  <si>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</si>
  <si>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</si>
  <si>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</si>
  <si>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</si>
  <si>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</si>
  <si>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</si>
  <si>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</si>
  <si>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</si>
  <si>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</si>
  <si>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</si>
  <si>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</si>
  <si>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</si>
  <si>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</si>
  <si>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</si>
  <si>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</si>
  <si>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</si>
  <si>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</si>
  <si>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</si>
  <si>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</si>
  <si>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</si>
  <si>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</si>
  <si>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</si>
  <si>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</si>
  <si>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</si>
  <si>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</si>
  <si>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</si>
  <si>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</si>
  <si>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</si>
  <si>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</si>
  <si>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</si>
  <si>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</si>
  <si>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</si>
  <si>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</si>
  <si>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</si>
  <si>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</si>
  <si>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</si>
  <si>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</si>
  <si>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</si>
  <si>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</si>
  <si>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</si>
  <si>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</si>
  <si>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</si>
  <si>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</si>
  <si>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</si>
  <si>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</si>
  <si>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</si>
  <si>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</si>
  <si>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</si>
  <si>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</si>
  <si>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</si>
  <si>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</si>
  <si>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</si>
  <si>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</si>
  <si>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</si>
  <si>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</si>
  <si>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</si>
  <si>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</si>
  <si>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</si>
  <si>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</si>
  <si>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</si>
  <si>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</si>
  <si>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</si>
  <si>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</si>
  <si>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</si>
  <si>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</si>
  <si>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</si>
  <si>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</si>
  <si>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</si>
  <si>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</si>
  <si>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</si>
  <si>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</si>
  <si>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</si>
  <si>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</si>
  <si>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</si>
  <si>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</si>
  <si>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</si>
  <si>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</si>
  <si>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</si>
  <si>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</si>
  <si>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</si>
  <si>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</si>
  <si>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</si>
  <si>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</si>
  <si>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</si>
  <si>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</si>
  <si>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</si>
  <si>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</si>
  <si>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</si>
  <si>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</si>
  <si>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</si>
  <si>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</si>
  <si>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</si>
  <si>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</si>
  <si>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</si>
  <si>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</si>
  <si>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</si>
  <si>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</si>
  <si>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</si>
  <si>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</si>
  <si>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</si>
  <si>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</si>
  <si>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</si>
  <si>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</si>
  <si>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</si>
  <si>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</si>
  <si>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</si>
  <si>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</si>
  <si>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</si>
  <si>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</si>
  <si>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</si>
  <si>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</si>
  <si>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</si>
  <si>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</si>
  <si>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</si>
  <si>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</si>
  <si>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</si>
  <si>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</si>
  <si>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</si>
  <si>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</si>
  <si>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</si>
  <si>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</si>
  <si>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</si>
  <si>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</si>
  <si>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</si>
  <si>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</si>
  <si>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</si>
  <si>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</si>
  <si>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</si>
  <si>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</si>
  <si>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</si>
  <si>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</si>
  <si>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</si>
  <si>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</si>
  <si>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</si>
  <si>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</si>
  <si>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</si>
  <si>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</si>
  <si>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</si>
  <si>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</si>
  <si>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</si>
  <si>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</si>
  <si>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</si>
  <si>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</si>
  <si>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</si>
  <si>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</si>
  <si>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</si>
  <si>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</si>
  <si>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</si>
  <si>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</si>
  <si>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</si>
  <si>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</si>
  <si>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</si>
  <si>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</si>
  <si>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</si>
  <si>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</si>
  <si>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</si>
  <si>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</si>
  <si>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</si>
  <si>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</si>
  <si>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</si>
  <si>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</si>
  <si>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</si>
  <si>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</si>
  <si>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</si>
  <si>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</si>
  <si>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</si>
  <si>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</si>
  <si>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</si>
  <si>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</si>
  <si>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</si>
  <si>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</si>
  <si>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</si>
  <si>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</si>
  <si>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</si>
  <si>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</si>
  <si>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</si>
  <si>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</si>
  <si>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</si>
  <si>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</si>
  <si>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</si>
  <si>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</si>
  <si>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</si>
  <si>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</si>
  <si>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</si>
  <si>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</si>
  <si>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</si>
  <si>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</si>
  <si>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</si>
  <si>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</si>
  <si>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</si>
  <si>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</si>
  <si>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</si>
  <si>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</si>
  <si>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</si>
  <si>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</si>
  <si>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</si>
  <si>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</si>
  <si>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</si>
  <si>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</si>
  <si>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</si>
  <si>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</si>
  <si>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</si>
  <si>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</si>
  <si>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</si>
  <si>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</si>
  <si>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</si>
  <si>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</si>
  <si>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</si>
  <si>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</si>
  <si>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</si>
  <si>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</si>
  <si>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</si>
  <si>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</si>
  <si>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</si>
  <si>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</si>
  <si>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</si>
  <si>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</si>
  <si>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</si>
  <si>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</si>
  <si>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</si>
  <si>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</si>
  <si>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</si>
  <si>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</si>
  <si>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</si>
  <si>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</si>
  <si>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</si>
  <si>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</si>
  <si>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</si>
  <si>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</si>
  <si>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</si>
  <si>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</si>
  <si>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</si>
  <si>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</si>
  <si>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</si>
  <si>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</si>
  <si>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</si>
  <si>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</si>
  <si>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</si>
  <si>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</si>
  <si>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</si>
  <si>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</si>
  <si>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</si>
  <si>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</si>
  <si>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</si>
  <si>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</si>
  <si>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</si>
  <si>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</si>
  <si>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</si>
  <si>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</si>
  <si>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</si>
  <si>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</si>
  <si>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</si>
  <si>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</si>
  <si>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</si>
  <si>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</si>
  <si>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</si>
  <si>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</si>
  <si>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</si>
  <si>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</si>
  <si>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</si>
  <si>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</si>
  <si>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</si>
  <si>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</si>
  <si>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</si>
  <si>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</si>
  <si>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</si>
  <si>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</si>
  <si>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</si>
  <si>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</si>
  <si>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</si>
  <si>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</si>
  <si>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</si>
  <si>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</si>
  <si>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</si>
  <si>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</si>
  <si>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</si>
  <si>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</si>
  <si>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</si>
  <si>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</si>
  <si>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</si>
  <si>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</si>
  <si>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</si>
  <si>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</si>
  <si>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</si>
  <si>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</si>
  <si>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</si>
  <si>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</si>
  <si>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</si>
  <si>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</si>
  <si>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</si>
  <si>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</si>
  <si>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</si>
  <si>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</si>
  <si>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</si>
  <si>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</si>
  <si>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</si>
  <si>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</si>
  <si>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</si>
  <si>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</si>
  <si>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</si>
  <si>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</si>
  <si>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</si>
  <si>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</si>
  <si>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</si>
  <si>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</si>
  <si>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</si>
  <si>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</si>
  <si>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</si>
  <si>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</si>
  <si>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</si>
  <si>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</si>
  <si>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</si>
  <si>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</si>
  <si>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</si>
  <si>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</si>
  <si>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</si>
  <si>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</si>
  <si>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</si>
  <si>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</si>
  <si>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</si>
  <si>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</si>
  <si>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</si>
  <si>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</si>
  <si>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</si>
  <si>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</si>
  <si>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</si>
  <si>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</si>
  <si>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</si>
  <si>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</si>
  <si>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</si>
  <si>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</si>
  <si>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</si>
  <si>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</si>
  <si>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</si>
  <si>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</si>
  <si>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</si>
  <si>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</si>
  <si>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</si>
  <si>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</si>
  <si>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</si>
  <si>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</si>
  <si>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</si>
  <si>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</si>
  <si>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</si>
  <si>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</si>
  <si>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</si>
  <si>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</si>
  <si>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</si>
  <si>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</si>
  <si>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</si>
  <si>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</si>
  <si>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</si>
  <si>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</si>
  <si>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</si>
  <si>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</si>
  <si>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</si>
  <si>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</si>
  <si>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</si>
  <si>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</si>
  <si>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</si>
  <si>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</si>
  <si>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</si>
  <si>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</si>
  <si>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</si>
  <si>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</si>
  <si>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</si>
  <si>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</si>
  <si>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</si>
  <si>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</si>
  <si>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</si>
  <si>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</si>
  <si>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</si>
  <si>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</si>
  <si>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</si>
  <si>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</si>
  <si>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</si>
  <si>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</si>
  <si>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</si>
  <si>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</si>
  <si>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</si>
  <si>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</si>
  <si>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</si>
  <si>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</si>
  <si>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</si>
  <si>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</si>
  <si>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</si>
  <si>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</si>
  <si>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</si>
  <si>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</si>
  <si>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</si>
  <si>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</si>
  <si>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</si>
  <si>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</si>
  <si>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</si>
  <si>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</si>
  <si>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</si>
  <si>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</si>
  <si>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</si>
  <si>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</si>
  <si>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</si>
  <si>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</si>
  <si>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</si>
  <si>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</si>
  <si>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</si>
  <si>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</si>
  <si>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</si>
  <si>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</si>
  <si>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</si>
  <si>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</si>
  <si>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</si>
  <si>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44034</t>
  </si>
  <si>
    <t>LOCHRISTI</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</si>
  <si>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</si>
  <si>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</si>
  <si>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</si>
  <si>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</si>
  <si>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</si>
  <si>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</si>
  <si>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</si>
  <si>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Kristof Van Laere</t>
  </si>
  <si>
    <t>Oude Veldstraat 59 , 9080 Lochristi</t>
  </si>
  <si>
    <t>WKK-0325 Kristof Van Laere</t>
  </si>
  <si>
    <t>interne verbrandingsmotor</t>
  </si>
  <si>
    <t>WKK interne verbrandinsgmotor (gas)</t>
  </si>
  <si>
    <t>IMEWO</t>
  </si>
  <si>
    <t>Floreac nv</t>
  </si>
  <si>
    <t>Beerveldse Baan 4 , 9080 Lochristi</t>
  </si>
  <si>
    <t>WKK-0301 Floreac</t>
  </si>
  <si>
    <t>Lichtelaerestraat 87 , 9080 Lochristi</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</si>
</sst>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44034</v>
      </c>
      <c r="B6" s="396"/>
      <c r="C6" s="397"/>
    </row>
    <row r="7" spans="1:7" s="394" customFormat="1" ht="15.75" customHeight="1">
      <c r="A7" s="398" t="str">
        <f>txtMunicipality</f>
        <v>LOCHRISTI</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32176.83344908139</v>
      </c>
      <c r="D10" s="702">
        <f ca="1">tertiair!C16</f>
        <v>112.5</v>
      </c>
      <c r="E10" s="702">
        <f ca="1">tertiair!D16</f>
        <v>26361.292648872535</v>
      </c>
      <c r="F10" s="702">
        <f>tertiair!E16</f>
        <v>591.82067668007892</v>
      </c>
      <c r="G10" s="702">
        <f ca="1">tertiair!F16</f>
        <v>5247.5628907578748</v>
      </c>
      <c r="H10" s="702">
        <f>tertiair!G16</f>
        <v>0</v>
      </c>
      <c r="I10" s="702">
        <f>tertiair!H16</f>
        <v>0</v>
      </c>
      <c r="J10" s="702">
        <f>tertiair!I16</f>
        <v>0</v>
      </c>
      <c r="K10" s="702">
        <f>tertiair!J16</f>
        <v>0</v>
      </c>
      <c r="L10" s="702">
        <f>tertiair!K16</f>
        <v>0</v>
      </c>
      <c r="M10" s="702">
        <f ca="1">tertiair!L16</f>
        <v>0</v>
      </c>
      <c r="N10" s="702">
        <f>tertiair!M16</f>
        <v>0</v>
      </c>
      <c r="O10" s="702">
        <f ca="1">tertiair!N16</f>
        <v>644.67183923393975</v>
      </c>
      <c r="P10" s="702">
        <f>tertiair!O16</f>
        <v>1.5633333333333335</v>
      </c>
      <c r="Q10" s="703">
        <f>tertiair!P16</f>
        <v>19.066666666666666</v>
      </c>
      <c r="R10" s="705">
        <f ca="1">SUM(C10:Q10)</f>
        <v>65155.31150462581</v>
      </c>
      <c r="S10" s="67"/>
    </row>
    <row r="11" spans="1:19" s="457" customFormat="1">
      <c r="A11" s="858" t="s">
        <v>226</v>
      </c>
      <c r="B11" s="863"/>
      <c r="C11" s="702">
        <f>huishoudens!B8</f>
        <v>43091.795242445914</v>
      </c>
      <c r="D11" s="702">
        <f>huishoudens!C8</f>
        <v>0</v>
      </c>
      <c r="E11" s="702">
        <f>huishoudens!D8</f>
        <v>61789.656218481461</v>
      </c>
      <c r="F11" s="702">
        <f>huishoudens!E8</f>
        <v>4250.1633462385835</v>
      </c>
      <c r="G11" s="702">
        <f>huishoudens!F8</f>
        <v>33676.430145573089</v>
      </c>
      <c r="H11" s="702">
        <f>huishoudens!G8</f>
        <v>0</v>
      </c>
      <c r="I11" s="702">
        <f>huishoudens!H8</f>
        <v>0</v>
      </c>
      <c r="J11" s="702">
        <f>huishoudens!I8</f>
        <v>0</v>
      </c>
      <c r="K11" s="702">
        <f>huishoudens!J8</f>
        <v>1838.7756997181725</v>
      </c>
      <c r="L11" s="702">
        <f>huishoudens!K8</f>
        <v>0</v>
      </c>
      <c r="M11" s="702">
        <f>huishoudens!L8</f>
        <v>0</v>
      </c>
      <c r="N11" s="702">
        <f>huishoudens!M8</f>
        <v>0</v>
      </c>
      <c r="O11" s="702">
        <f>huishoudens!N8</f>
        <v>14533.030655745308</v>
      </c>
      <c r="P11" s="702">
        <f>huishoudens!O8</f>
        <v>190.72666666666666</v>
      </c>
      <c r="Q11" s="703">
        <f>huishoudens!P8</f>
        <v>305.06666666666666</v>
      </c>
      <c r="R11" s="705">
        <f>SUM(C11:Q11)</f>
        <v>159675.64464153585</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7569.7005953203243</v>
      </c>
      <c r="D13" s="702">
        <f>industrie!C18</f>
        <v>0</v>
      </c>
      <c r="E13" s="702">
        <f>industrie!D18</f>
        <v>20591.749182773186</v>
      </c>
      <c r="F13" s="702">
        <f>industrie!E18</f>
        <v>100.76291020064411</v>
      </c>
      <c r="G13" s="702">
        <f>industrie!F18</f>
        <v>3707.3540807588233</v>
      </c>
      <c r="H13" s="702">
        <f>industrie!G18</f>
        <v>0</v>
      </c>
      <c r="I13" s="702">
        <f>industrie!H18</f>
        <v>0</v>
      </c>
      <c r="J13" s="702">
        <f>industrie!I18</f>
        <v>0</v>
      </c>
      <c r="K13" s="702">
        <f>industrie!J18</f>
        <v>24.313610604529302</v>
      </c>
      <c r="L13" s="702">
        <f>industrie!K18</f>
        <v>0</v>
      </c>
      <c r="M13" s="702">
        <f>industrie!L18</f>
        <v>0</v>
      </c>
      <c r="N13" s="702">
        <f>industrie!M18</f>
        <v>0</v>
      </c>
      <c r="O13" s="702">
        <f>industrie!N18</f>
        <v>344.7139563334128</v>
      </c>
      <c r="P13" s="702">
        <f>industrie!O18</f>
        <v>0</v>
      </c>
      <c r="Q13" s="703">
        <f>industrie!P18</f>
        <v>0</v>
      </c>
      <c r="R13" s="705">
        <f>SUM(C13:Q13)</f>
        <v>32338.594335990922</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82838.329286847627</v>
      </c>
      <c r="D15" s="707">
        <f t="shared" ref="D15:Q15" ca="1" si="0">SUM(D9:D14)</f>
        <v>112.5</v>
      </c>
      <c r="E15" s="707">
        <f t="shared" ca="1" si="0"/>
        <v>108742.69805012718</v>
      </c>
      <c r="F15" s="707">
        <f t="shared" si="0"/>
        <v>4942.746933119306</v>
      </c>
      <c r="G15" s="707">
        <f t="shared" ca="1" si="0"/>
        <v>42631.347117089783</v>
      </c>
      <c r="H15" s="707">
        <f t="shared" si="0"/>
        <v>0</v>
      </c>
      <c r="I15" s="707">
        <f t="shared" si="0"/>
        <v>0</v>
      </c>
      <c r="J15" s="707">
        <f t="shared" si="0"/>
        <v>0</v>
      </c>
      <c r="K15" s="707">
        <f t="shared" si="0"/>
        <v>1863.0893103227017</v>
      </c>
      <c r="L15" s="707">
        <f t="shared" si="0"/>
        <v>0</v>
      </c>
      <c r="M15" s="707">
        <f t="shared" ca="1" si="0"/>
        <v>0</v>
      </c>
      <c r="N15" s="707">
        <f t="shared" si="0"/>
        <v>0</v>
      </c>
      <c r="O15" s="707">
        <f t="shared" ca="1" si="0"/>
        <v>15522.41645131266</v>
      </c>
      <c r="P15" s="707">
        <f t="shared" si="0"/>
        <v>192.29</v>
      </c>
      <c r="Q15" s="708">
        <f t="shared" si="0"/>
        <v>324.13333333333333</v>
      </c>
      <c r="R15" s="709">
        <f ca="1">SUM(R9:R14)</f>
        <v>257169.55048215258</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2499.7806188217396</v>
      </c>
      <c r="I18" s="702">
        <f>transport!H54</f>
        <v>0</v>
      </c>
      <c r="J18" s="702">
        <f>transport!I54</f>
        <v>0</v>
      </c>
      <c r="K18" s="702">
        <f>transport!J54</f>
        <v>0</v>
      </c>
      <c r="L18" s="702">
        <f>transport!K54</f>
        <v>0</v>
      </c>
      <c r="M18" s="702">
        <f>transport!L54</f>
        <v>0</v>
      </c>
      <c r="N18" s="702">
        <f>transport!M54</f>
        <v>106.55478754205015</v>
      </c>
      <c r="O18" s="702">
        <f>transport!N54</f>
        <v>0</v>
      </c>
      <c r="P18" s="702">
        <f>transport!O54</f>
        <v>0</v>
      </c>
      <c r="Q18" s="703">
        <f>transport!P54</f>
        <v>0</v>
      </c>
      <c r="R18" s="705">
        <f>SUM(C18:Q18)</f>
        <v>2606.3354063637898</v>
      </c>
      <c r="S18" s="67"/>
    </row>
    <row r="19" spans="1:19" s="457" customFormat="1" ht="15" thickBot="1">
      <c r="A19" s="858" t="s">
        <v>308</v>
      </c>
      <c r="B19" s="863"/>
      <c r="C19" s="711">
        <f>transport!B14</f>
        <v>1.8648159770320545</v>
      </c>
      <c r="D19" s="711">
        <f>transport!C14</f>
        <v>0</v>
      </c>
      <c r="E19" s="711">
        <f>transport!D14</f>
        <v>9.0151869733192456</v>
      </c>
      <c r="F19" s="711">
        <f>transport!E14</f>
        <v>1054.5995264265564</v>
      </c>
      <c r="G19" s="711">
        <f>transport!F14</f>
        <v>0</v>
      </c>
      <c r="H19" s="711">
        <f>transport!G14</f>
        <v>232232.0205047474</v>
      </c>
      <c r="I19" s="711">
        <f>transport!H14</f>
        <v>31081.445174715805</v>
      </c>
      <c r="J19" s="711">
        <f>transport!I14</f>
        <v>0</v>
      </c>
      <c r="K19" s="711">
        <f>transport!J14</f>
        <v>0</v>
      </c>
      <c r="L19" s="711">
        <f>transport!K14</f>
        <v>0</v>
      </c>
      <c r="M19" s="711">
        <f>transport!L14</f>
        <v>0</v>
      </c>
      <c r="N19" s="711">
        <f>transport!M14</f>
        <v>11466.29612196111</v>
      </c>
      <c r="O19" s="711">
        <f>transport!N14</f>
        <v>0</v>
      </c>
      <c r="P19" s="711">
        <f>transport!O14</f>
        <v>0</v>
      </c>
      <c r="Q19" s="712">
        <f>transport!P14</f>
        <v>0</v>
      </c>
      <c r="R19" s="713">
        <f>SUM(C19:Q19)</f>
        <v>275845.24133080122</v>
      </c>
      <c r="S19" s="67"/>
    </row>
    <row r="20" spans="1:19" s="457" customFormat="1" ht="15.75" thickBot="1">
      <c r="A20" s="714" t="s">
        <v>231</v>
      </c>
      <c r="B20" s="866"/>
      <c r="C20" s="861">
        <f>SUM(C17:C19)</f>
        <v>1.8648159770320545</v>
      </c>
      <c r="D20" s="715">
        <f t="shared" ref="D20:R20" si="1">SUM(D17:D19)</f>
        <v>0</v>
      </c>
      <c r="E20" s="715">
        <f t="shared" si="1"/>
        <v>9.0151869733192456</v>
      </c>
      <c r="F20" s="715">
        <f t="shared" si="1"/>
        <v>1054.5995264265564</v>
      </c>
      <c r="G20" s="715">
        <f t="shared" si="1"/>
        <v>0</v>
      </c>
      <c r="H20" s="715">
        <f t="shared" si="1"/>
        <v>234731.80112356914</v>
      </c>
      <c r="I20" s="715">
        <f t="shared" si="1"/>
        <v>31081.445174715805</v>
      </c>
      <c r="J20" s="715">
        <f t="shared" si="1"/>
        <v>0</v>
      </c>
      <c r="K20" s="715">
        <f t="shared" si="1"/>
        <v>0</v>
      </c>
      <c r="L20" s="715">
        <f t="shared" si="1"/>
        <v>0</v>
      </c>
      <c r="M20" s="715">
        <f t="shared" si="1"/>
        <v>0</v>
      </c>
      <c r="N20" s="715">
        <f t="shared" si="1"/>
        <v>11572.85090950316</v>
      </c>
      <c r="O20" s="715">
        <f t="shared" si="1"/>
        <v>0</v>
      </c>
      <c r="P20" s="715">
        <f t="shared" si="1"/>
        <v>0</v>
      </c>
      <c r="Q20" s="716">
        <f t="shared" si="1"/>
        <v>0</v>
      </c>
      <c r="R20" s="717">
        <f t="shared" si="1"/>
        <v>278451.57673716499</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13144.408569487015</v>
      </c>
      <c r="D22" s="711">
        <f>+landbouw!C8</f>
        <v>6467.1428571428569</v>
      </c>
      <c r="E22" s="711">
        <f>+landbouw!D8</f>
        <v>45406.040308411189</v>
      </c>
      <c r="F22" s="711">
        <f>+landbouw!E8</f>
        <v>137.65109218807845</v>
      </c>
      <c r="G22" s="711">
        <f>+landbouw!F8</f>
        <v>67511.775321711539</v>
      </c>
      <c r="H22" s="711">
        <f>+landbouw!G8</f>
        <v>0</v>
      </c>
      <c r="I22" s="711">
        <f>+landbouw!H8</f>
        <v>0</v>
      </c>
      <c r="J22" s="711">
        <f>+landbouw!I8</f>
        <v>0</v>
      </c>
      <c r="K22" s="711">
        <f>+landbouw!J8</f>
        <v>1173.9135005990884</v>
      </c>
      <c r="L22" s="711">
        <f>+landbouw!K8</f>
        <v>0</v>
      </c>
      <c r="M22" s="711">
        <f>+landbouw!L8</f>
        <v>0</v>
      </c>
      <c r="N22" s="711">
        <f>+landbouw!M8</f>
        <v>0</v>
      </c>
      <c r="O22" s="711">
        <f>+landbouw!N8</f>
        <v>0</v>
      </c>
      <c r="P22" s="711">
        <f>+landbouw!O8</f>
        <v>0</v>
      </c>
      <c r="Q22" s="712">
        <f>+landbouw!P8</f>
        <v>0</v>
      </c>
      <c r="R22" s="713">
        <f>SUM(C22:Q22)</f>
        <v>133840.93164953977</v>
      </c>
      <c r="S22" s="67"/>
    </row>
    <row r="23" spans="1:19" s="457" customFormat="1" ht="17.25" thickTop="1" thickBot="1">
      <c r="A23" s="718" t="s">
        <v>116</v>
      </c>
      <c r="B23" s="852"/>
      <c r="C23" s="719">
        <f ca="1">C20+C15+C22</f>
        <v>95984.602672311681</v>
      </c>
      <c r="D23" s="719">
        <f t="shared" ref="D23:Q23" ca="1" si="2">D20+D15+D22</f>
        <v>6579.6428571428569</v>
      </c>
      <c r="E23" s="719">
        <f t="shared" ca="1" si="2"/>
        <v>154157.75354551169</v>
      </c>
      <c r="F23" s="719">
        <f t="shared" si="2"/>
        <v>6134.9975517339408</v>
      </c>
      <c r="G23" s="719">
        <f t="shared" ca="1" si="2"/>
        <v>110143.12243880132</v>
      </c>
      <c r="H23" s="719">
        <f t="shared" si="2"/>
        <v>234731.80112356914</v>
      </c>
      <c r="I23" s="719">
        <f t="shared" si="2"/>
        <v>31081.445174715805</v>
      </c>
      <c r="J23" s="719">
        <f t="shared" si="2"/>
        <v>0</v>
      </c>
      <c r="K23" s="719">
        <f t="shared" si="2"/>
        <v>3037.0028109217901</v>
      </c>
      <c r="L23" s="719">
        <f t="shared" si="2"/>
        <v>0</v>
      </c>
      <c r="M23" s="719">
        <f t="shared" ca="1" si="2"/>
        <v>0</v>
      </c>
      <c r="N23" s="719">
        <f t="shared" si="2"/>
        <v>11572.85090950316</v>
      </c>
      <c r="O23" s="719">
        <f t="shared" ca="1" si="2"/>
        <v>15522.41645131266</v>
      </c>
      <c r="P23" s="719">
        <f t="shared" si="2"/>
        <v>192.29</v>
      </c>
      <c r="Q23" s="720">
        <f t="shared" si="2"/>
        <v>324.13333333333333</v>
      </c>
      <c r="R23" s="721">
        <f ca="1">R20+R15+R22</f>
        <v>669462.05886885733</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6923.531408694198</v>
      </c>
      <c r="D36" s="702">
        <f ca="1">tertiair!C20</f>
        <v>26.735294117647065</v>
      </c>
      <c r="E36" s="702">
        <f ca="1">tertiair!D20</f>
        <v>5324.9811150722526</v>
      </c>
      <c r="F36" s="702">
        <f>tertiair!E20</f>
        <v>134.34329360637793</v>
      </c>
      <c r="G36" s="702">
        <f ca="1">tertiair!F20</f>
        <v>1401.0992918323527</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13810.690403322827</v>
      </c>
    </row>
    <row r="37" spans="1:18">
      <c r="A37" s="873" t="s">
        <v>226</v>
      </c>
      <c r="B37" s="880"/>
      <c r="C37" s="702">
        <f ca="1">huishoudens!B12</f>
        <v>9272.1180376626198</v>
      </c>
      <c r="D37" s="702">
        <f ca="1">huishoudens!C12</f>
        <v>0</v>
      </c>
      <c r="E37" s="702">
        <f>huishoudens!D12</f>
        <v>12481.510556133257</v>
      </c>
      <c r="F37" s="702">
        <f>huishoudens!E12</f>
        <v>964.78707959615849</v>
      </c>
      <c r="G37" s="702">
        <f>huishoudens!F12</f>
        <v>8991.6068488680157</v>
      </c>
      <c r="H37" s="702">
        <f>huishoudens!G12</f>
        <v>0</v>
      </c>
      <c r="I37" s="702">
        <f>huishoudens!H12</f>
        <v>0</v>
      </c>
      <c r="J37" s="702">
        <f>huishoudens!I12</f>
        <v>0</v>
      </c>
      <c r="K37" s="702">
        <f>huishoudens!J12</f>
        <v>650.92659770023306</v>
      </c>
      <c r="L37" s="702">
        <f>huishoudens!K12</f>
        <v>0</v>
      </c>
      <c r="M37" s="702">
        <f>huishoudens!L12</f>
        <v>0</v>
      </c>
      <c r="N37" s="702">
        <f>huishoudens!M12</f>
        <v>0</v>
      </c>
      <c r="O37" s="702">
        <f>huishoudens!N12</f>
        <v>0</v>
      </c>
      <c r="P37" s="702">
        <f>huishoudens!O12</f>
        <v>0</v>
      </c>
      <c r="Q37" s="812">
        <f>huishoudens!P12</f>
        <v>0</v>
      </c>
      <c r="R37" s="905">
        <f ca="1">SUM(C37:Q37)</f>
        <v>32360.949119960282</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1628.7823942976479</v>
      </c>
      <c r="D39" s="702">
        <f ca="1">industrie!C22</f>
        <v>0</v>
      </c>
      <c r="E39" s="702">
        <f>industrie!D22</f>
        <v>4159.5333349201837</v>
      </c>
      <c r="F39" s="702">
        <f>industrie!E22</f>
        <v>22.873180615546215</v>
      </c>
      <c r="G39" s="702">
        <f>industrie!F22</f>
        <v>989.86353956260587</v>
      </c>
      <c r="H39" s="702">
        <f>industrie!G22</f>
        <v>0</v>
      </c>
      <c r="I39" s="702">
        <f>industrie!H22</f>
        <v>0</v>
      </c>
      <c r="J39" s="702">
        <f>industrie!I22</f>
        <v>0</v>
      </c>
      <c r="K39" s="702">
        <f>industrie!J22</f>
        <v>8.6070181540033719</v>
      </c>
      <c r="L39" s="702">
        <f>industrie!K22</f>
        <v>0</v>
      </c>
      <c r="M39" s="702">
        <f>industrie!L22</f>
        <v>0</v>
      </c>
      <c r="N39" s="702">
        <f>industrie!M22</f>
        <v>0</v>
      </c>
      <c r="O39" s="702">
        <f>industrie!N22</f>
        <v>0</v>
      </c>
      <c r="P39" s="702">
        <f>industrie!O22</f>
        <v>0</v>
      </c>
      <c r="Q39" s="812">
        <f>industrie!P22</f>
        <v>0</v>
      </c>
      <c r="R39" s="906">
        <f ca="1">SUM(C39:Q39)</f>
        <v>6809.6594675499873</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17824.431840654466</v>
      </c>
      <c r="D41" s="747">
        <f t="shared" ref="D41:R41" ca="1" si="4">SUM(D35:D40)</f>
        <v>26.735294117647065</v>
      </c>
      <c r="E41" s="747">
        <f t="shared" ca="1" si="4"/>
        <v>21966.025006125692</v>
      </c>
      <c r="F41" s="747">
        <f t="shared" si="4"/>
        <v>1122.0035538180828</v>
      </c>
      <c r="G41" s="747">
        <f t="shared" ca="1" si="4"/>
        <v>11382.569680262974</v>
      </c>
      <c r="H41" s="747">
        <f t="shared" si="4"/>
        <v>0</v>
      </c>
      <c r="I41" s="747">
        <f t="shared" si="4"/>
        <v>0</v>
      </c>
      <c r="J41" s="747">
        <f t="shared" si="4"/>
        <v>0</v>
      </c>
      <c r="K41" s="747">
        <f t="shared" si="4"/>
        <v>659.53361585423647</v>
      </c>
      <c r="L41" s="747">
        <f t="shared" si="4"/>
        <v>0</v>
      </c>
      <c r="M41" s="747">
        <f t="shared" ca="1" si="4"/>
        <v>0</v>
      </c>
      <c r="N41" s="747">
        <f t="shared" si="4"/>
        <v>0</v>
      </c>
      <c r="O41" s="747">
        <f t="shared" ca="1" si="4"/>
        <v>0</v>
      </c>
      <c r="P41" s="747">
        <f t="shared" si="4"/>
        <v>0</v>
      </c>
      <c r="Q41" s="748">
        <f t="shared" si="4"/>
        <v>0</v>
      </c>
      <c r="R41" s="749">
        <f t="shared" ca="1" si="4"/>
        <v>52981.2989908331</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667.44142522540449</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667.44142522540449</v>
      </c>
    </row>
    <row r="45" spans="1:18" ht="15" thickBot="1">
      <c r="A45" s="876" t="s">
        <v>308</v>
      </c>
      <c r="B45" s="886"/>
      <c r="C45" s="711">
        <f ca="1">transport!B18</f>
        <v>0.40125489690735194</v>
      </c>
      <c r="D45" s="711">
        <f>transport!C18</f>
        <v>0</v>
      </c>
      <c r="E45" s="711">
        <f>transport!D18</f>
        <v>1.8210677686104877</v>
      </c>
      <c r="F45" s="711">
        <f>transport!E18</f>
        <v>239.39409249882831</v>
      </c>
      <c r="G45" s="711">
        <f>transport!F18</f>
        <v>0</v>
      </c>
      <c r="H45" s="711">
        <f>transport!G18</f>
        <v>62005.949474767556</v>
      </c>
      <c r="I45" s="711">
        <f>transport!H18</f>
        <v>7739.2798485042358</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69986.845738436139</v>
      </c>
    </row>
    <row r="46" spans="1:18" ht="15.75" thickBot="1">
      <c r="A46" s="874" t="s">
        <v>231</v>
      </c>
      <c r="B46" s="887"/>
      <c r="C46" s="747">
        <f t="shared" ref="C46:R46" ca="1" si="5">SUM(C43:C45)</f>
        <v>0.40125489690735194</v>
      </c>
      <c r="D46" s="747">
        <f t="shared" ca="1" si="5"/>
        <v>0</v>
      </c>
      <c r="E46" s="747">
        <f t="shared" si="5"/>
        <v>1.8210677686104877</v>
      </c>
      <c r="F46" s="747">
        <f t="shared" si="5"/>
        <v>239.39409249882831</v>
      </c>
      <c r="G46" s="747">
        <f t="shared" si="5"/>
        <v>0</v>
      </c>
      <c r="H46" s="747">
        <f t="shared" si="5"/>
        <v>62673.390899992963</v>
      </c>
      <c r="I46" s="747">
        <f t="shared" si="5"/>
        <v>7739.2798485042358</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70654.287163661545</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2828.2996126255125</v>
      </c>
      <c r="D48" s="702">
        <f ca="1">+landbouw!C12</f>
        <v>1536.8974789915969</v>
      </c>
      <c r="E48" s="702">
        <f>+landbouw!D12</f>
        <v>9172.0201422990613</v>
      </c>
      <c r="F48" s="702">
        <f>+landbouw!E12</f>
        <v>31.246797926693809</v>
      </c>
      <c r="G48" s="702">
        <f>+landbouw!F12</f>
        <v>18025.644010896984</v>
      </c>
      <c r="H48" s="702">
        <f>+landbouw!G12</f>
        <v>0</v>
      </c>
      <c r="I48" s="702">
        <f>+landbouw!H12</f>
        <v>0</v>
      </c>
      <c r="J48" s="702">
        <f>+landbouw!I12</f>
        <v>0</v>
      </c>
      <c r="K48" s="702">
        <f>+landbouw!J12</f>
        <v>415.56537921207723</v>
      </c>
      <c r="L48" s="702">
        <f>+landbouw!K12</f>
        <v>0</v>
      </c>
      <c r="M48" s="702">
        <f>+landbouw!L12</f>
        <v>0</v>
      </c>
      <c r="N48" s="702">
        <f>+landbouw!M12</f>
        <v>0</v>
      </c>
      <c r="O48" s="702">
        <f>+landbouw!N12</f>
        <v>0</v>
      </c>
      <c r="P48" s="702">
        <f>+landbouw!O12</f>
        <v>0</v>
      </c>
      <c r="Q48" s="703">
        <f>+landbouw!P12</f>
        <v>0</v>
      </c>
      <c r="R48" s="745">
        <f ca="1">SUM(C48:Q48)</f>
        <v>32009.673421951924</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20653.132708176887</v>
      </c>
      <c r="D53" s="757">
        <f t="shared" ref="D53:Q53" ca="1" si="6">D41+D46+D48</f>
        <v>1563.632773109244</v>
      </c>
      <c r="E53" s="757">
        <f t="shared" ca="1" si="6"/>
        <v>31139.866216193364</v>
      </c>
      <c r="F53" s="757">
        <f t="shared" si="6"/>
        <v>1392.6444442436048</v>
      </c>
      <c r="G53" s="757">
        <f t="shared" ca="1" si="6"/>
        <v>29408.213691159959</v>
      </c>
      <c r="H53" s="757">
        <f t="shared" si="6"/>
        <v>62673.390899992963</v>
      </c>
      <c r="I53" s="757">
        <f t="shared" si="6"/>
        <v>7739.2798485042358</v>
      </c>
      <c r="J53" s="757">
        <f t="shared" si="6"/>
        <v>0</v>
      </c>
      <c r="K53" s="757">
        <f t="shared" si="6"/>
        <v>1075.0989950663138</v>
      </c>
      <c r="L53" s="757">
        <f t="shared" si="6"/>
        <v>0</v>
      </c>
      <c r="M53" s="757">
        <f t="shared" ca="1" si="6"/>
        <v>0</v>
      </c>
      <c r="N53" s="757">
        <f t="shared" si="6"/>
        <v>0</v>
      </c>
      <c r="O53" s="757">
        <f t="shared" ca="1" si="6"/>
        <v>0</v>
      </c>
      <c r="P53" s="757">
        <f>P41+P46+P48</f>
        <v>0</v>
      </c>
      <c r="Q53" s="758">
        <f t="shared" si="6"/>
        <v>0</v>
      </c>
      <c r="R53" s="759">
        <f ca="1">R41+R46+R48</f>
        <v>155645.25957644655</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0.21517131011820731</v>
      </c>
      <c r="D55" s="823">
        <f t="shared" ca="1" si="7"/>
        <v>0.23764705882352946</v>
      </c>
      <c r="E55" s="823">
        <f t="shared" ca="1" si="7"/>
        <v>0.20200000000000001</v>
      </c>
      <c r="F55" s="823">
        <f t="shared" si="7"/>
        <v>0.22700000000000004</v>
      </c>
      <c r="G55" s="823">
        <f t="shared" ca="1" si="7"/>
        <v>0.26700000000000007</v>
      </c>
      <c r="H55" s="823">
        <f t="shared" si="7"/>
        <v>0.26700000000000002</v>
      </c>
      <c r="I55" s="823">
        <f t="shared" si="7"/>
        <v>0.249</v>
      </c>
      <c r="J55" s="823">
        <f t="shared" si="7"/>
        <v>0</v>
      </c>
      <c r="K55" s="823">
        <f t="shared" si="7"/>
        <v>0.35400000000000004</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2878.4464867894417</v>
      </c>
      <c r="C66" s="779">
        <f>'lokale energieproductie'!B6</f>
        <v>2878.4464867894417</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4605.75</v>
      </c>
      <c r="C67" s="778">
        <f>B67*IFERROR(SUM(J67:L67)/SUM(D67:M67),0)</f>
        <v>0</v>
      </c>
      <c r="D67" s="810">
        <f>'lokale energieproductie'!C7</f>
        <v>5418.5294117647072</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1094.542941176471</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7484.1964867894421</v>
      </c>
      <c r="C69" s="787">
        <f>SUM(C64:C68)</f>
        <v>2878.4464867894417</v>
      </c>
      <c r="D69" s="788">
        <f t="shared" ref="D69:M69" si="8">SUM(D67:D68)</f>
        <v>5418.5294117647072</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1094.542941176471</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6579.6428571428569</v>
      </c>
      <c r="C78" s="801">
        <f>B78*IFERROR(SUM(I78:L78)/SUM(D78:M78),0)</f>
        <v>0</v>
      </c>
      <c r="D78" s="816">
        <f>'lokale energieproductie'!C16</f>
        <v>7740.7563025210093</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1563.632773109244</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6579.6428571428569</v>
      </c>
      <c r="C81" s="787">
        <f>SUM(C78:C80)</f>
        <v>0</v>
      </c>
      <c r="D81" s="787">
        <f t="shared" ref="D81:P81" si="9">SUM(D78:D80)</f>
        <v>7740.7563025210093</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1563.632773109244</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43091.795242445914</v>
      </c>
      <c r="C4" s="461">
        <f>huishoudens!C8</f>
        <v>0</v>
      </c>
      <c r="D4" s="461">
        <f>huishoudens!D8</f>
        <v>61789.656218481461</v>
      </c>
      <c r="E4" s="461">
        <f>huishoudens!E8</f>
        <v>4250.1633462385835</v>
      </c>
      <c r="F4" s="461">
        <f>huishoudens!F8</f>
        <v>33676.430145573089</v>
      </c>
      <c r="G4" s="461">
        <f>huishoudens!G8</f>
        <v>0</v>
      </c>
      <c r="H4" s="461">
        <f>huishoudens!H8</f>
        <v>0</v>
      </c>
      <c r="I4" s="461">
        <f>huishoudens!I8</f>
        <v>0</v>
      </c>
      <c r="J4" s="461">
        <f>huishoudens!J8</f>
        <v>1838.7756997181725</v>
      </c>
      <c r="K4" s="461">
        <f>huishoudens!K8</f>
        <v>0</v>
      </c>
      <c r="L4" s="461">
        <f>huishoudens!L8</f>
        <v>0</v>
      </c>
      <c r="M4" s="461">
        <f>huishoudens!M8</f>
        <v>0</v>
      </c>
      <c r="N4" s="461">
        <f>huishoudens!N8</f>
        <v>14533.030655745308</v>
      </c>
      <c r="O4" s="461">
        <f>huishoudens!O8</f>
        <v>190.72666666666666</v>
      </c>
      <c r="P4" s="462">
        <f>huishoudens!P8</f>
        <v>305.06666666666666</v>
      </c>
      <c r="Q4" s="463">
        <f>SUM(B4:P4)</f>
        <v>159675.64464153585</v>
      </c>
    </row>
    <row r="5" spans="1:17">
      <c r="A5" s="460" t="s">
        <v>156</v>
      </c>
      <c r="B5" s="461">
        <f ca="1">tertiair!B16</f>
        <v>30462.86544908139</v>
      </c>
      <c r="C5" s="461">
        <f ca="1">tertiair!C16</f>
        <v>112.5</v>
      </c>
      <c r="D5" s="461">
        <f ca="1">tertiair!D16</f>
        <v>26361.292648872535</v>
      </c>
      <c r="E5" s="461">
        <f>tertiair!E16</f>
        <v>591.82067668007892</v>
      </c>
      <c r="F5" s="461">
        <f ca="1">tertiair!F16</f>
        <v>5247.5628907578748</v>
      </c>
      <c r="G5" s="461">
        <f>tertiair!G16</f>
        <v>0</v>
      </c>
      <c r="H5" s="461">
        <f>tertiair!H16</f>
        <v>0</v>
      </c>
      <c r="I5" s="461">
        <f>tertiair!I16</f>
        <v>0</v>
      </c>
      <c r="J5" s="461">
        <f>tertiair!J16</f>
        <v>0</v>
      </c>
      <c r="K5" s="461">
        <f>tertiair!K16</f>
        <v>0</v>
      </c>
      <c r="L5" s="461">
        <f ca="1">tertiair!L16</f>
        <v>0</v>
      </c>
      <c r="M5" s="461">
        <f>tertiair!M16</f>
        <v>0</v>
      </c>
      <c r="N5" s="461">
        <f ca="1">tertiair!N16</f>
        <v>644.67183923393975</v>
      </c>
      <c r="O5" s="461">
        <f>tertiair!O16</f>
        <v>1.5633333333333335</v>
      </c>
      <c r="P5" s="462">
        <f>tertiair!P16</f>
        <v>19.066666666666666</v>
      </c>
      <c r="Q5" s="460">
        <f t="shared" ref="Q5:Q13" ca="1" si="0">SUM(B5:P5)</f>
        <v>63441.343504625816</v>
      </c>
    </row>
    <row r="6" spans="1:17">
      <c r="A6" s="460" t="s">
        <v>195</v>
      </c>
      <c r="B6" s="461">
        <f>'openbare verlichting'!B8</f>
        <v>1713.9680000000001</v>
      </c>
      <c r="C6" s="461"/>
      <c r="D6" s="461"/>
      <c r="E6" s="461"/>
      <c r="F6" s="461"/>
      <c r="G6" s="461"/>
      <c r="H6" s="461"/>
      <c r="I6" s="461"/>
      <c r="J6" s="461"/>
      <c r="K6" s="461"/>
      <c r="L6" s="461"/>
      <c r="M6" s="461"/>
      <c r="N6" s="461"/>
      <c r="O6" s="461"/>
      <c r="P6" s="462"/>
      <c r="Q6" s="460">
        <f t="shared" si="0"/>
        <v>1713.9680000000001</v>
      </c>
    </row>
    <row r="7" spans="1:17">
      <c r="A7" s="460" t="s">
        <v>112</v>
      </c>
      <c r="B7" s="461">
        <f>landbouw!B8</f>
        <v>13144.408569487015</v>
      </c>
      <c r="C7" s="461">
        <f>landbouw!C8</f>
        <v>6467.1428571428569</v>
      </c>
      <c r="D7" s="461">
        <f>landbouw!D8</f>
        <v>45406.040308411189</v>
      </c>
      <c r="E7" s="461">
        <f>landbouw!E8</f>
        <v>137.65109218807845</v>
      </c>
      <c r="F7" s="461">
        <f>landbouw!F8</f>
        <v>67511.775321711539</v>
      </c>
      <c r="G7" s="461">
        <f>landbouw!G8</f>
        <v>0</v>
      </c>
      <c r="H7" s="461">
        <f>landbouw!H8</f>
        <v>0</v>
      </c>
      <c r="I7" s="461">
        <f>landbouw!I8</f>
        <v>0</v>
      </c>
      <c r="J7" s="461">
        <f>landbouw!J8</f>
        <v>1173.9135005990884</v>
      </c>
      <c r="K7" s="461">
        <f>landbouw!K8</f>
        <v>0</v>
      </c>
      <c r="L7" s="461">
        <f>landbouw!L8</f>
        <v>0</v>
      </c>
      <c r="M7" s="461">
        <f>landbouw!M8</f>
        <v>0</v>
      </c>
      <c r="N7" s="461">
        <f>landbouw!N8</f>
        <v>0</v>
      </c>
      <c r="O7" s="461">
        <f>landbouw!O8</f>
        <v>0</v>
      </c>
      <c r="P7" s="462">
        <f>landbouw!P8</f>
        <v>0</v>
      </c>
      <c r="Q7" s="460">
        <f t="shared" si="0"/>
        <v>133840.93164953977</v>
      </c>
    </row>
    <row r="8" spans="1:17">
      <c r="A8" s="460" t="s">
        <v>656</v>
      </c>
      <c r="B8" s="461">
        <f>industrie!B18</f>
        <v>7569.7005953203243</v>
      </c>
      <c r="C8" s="461">
        <f>industrie!C18</f>
        <v>0</v>
      </c>
      <c r="D8" s="461">
        <f>industrie!D18</f>
        <v>20591.749182773186</v>
      </c>
      <c r="E8" s="461">
        <f>industrie!E18</f>
        <v>100.76291020064411</v>
      </c>
      <c r="F8" s="461">
        <f>industrie!F18</f>
        <v>3707.3540807588233</v>
      </c>
      <c r="G8" s="461">
        <f>industrie!G18</f>
        <v>0</v>
      </c>
      <c r="H8" s="461">
        <f>industrie!H18</f>
        <v>0</v>
      </c>
      <c r="I8" s="461">
        <f>industrie!I18</f>
        <v>0</v>
      </c>
      <c r="J8" s="461">
        <f>industrie!J18</f>
        <v>24.313610604529302</v>
      </c>
      <c r="K8" s="461">
        <f>industrie!K18</f>
        <v>0</v>
      </c>
      <c r="L8" s="461">
        <f>industrie!L18</f>
        <v>0</v>
      </c>
      <c r="M8" s="461">
        <f>industrie!M18</f>
        <v>0</v>
      </c>
      <c r="N8" s="461">
        <f>industrie!N18</f>
        <v>344.7139563334128</v>
      </c>
      <c r="O8" s="461">
        <f>industrie!O18</f>
        <v>0</v>
      </c>
      <c r="P8" s="462">
        <f>industrie!P18</f>
        <v>0</v>
      </c>
      <c r="Q8" s="460">
        <f t="shared" si="0"/>
        <v>32338.594335990922</v>
      </c>
    </row>
    <row r="9" spans="1:17" s="466" customFormat="1">
      <c r="A9" s="464" t="s">
        <v>574</v>
      </c>
      <c r="B9" s="465">
        <f>transport!B14</f>
        <v>1.8648159770320545</v>
      </c>
      <c r="C9" s="465">
        <f>transport!C14</f>
        <v>0</v>
      </c>
      <c r="D9" s="465">
        <f>transport!D14</f>
        <v>9.0151869733192456</v>
      </c>
      <c r="E9" s="465">
        <f>transport!E14</f>
        <v>1054.5995264265564</v>
      </c>
      <c r="F9" s="465">
        <f>transport!F14</f>
        <v>0</v>
      </c>
      <c r="G9" s="465">
        <f>transport!G14</f>
        <v>232232.0205047474</v>
      </c>
      <c r="H9" s="465">
        <f>transport!H14</f>
        <v>31081.445174715805</v>
      </c>
      <c r="I9" s="465">
        <f>transport!I14</f>
        <v>0</v>
      </c>
      <c r="J9" s="465">
        <f>transport!J14</f>
        <v>0</v>
      </c>
      <c r="K9" s="465">
        <f>transport!K14</f>
        <v>0</v>
      </c>
      <c r="L9" s="465">
        <f>transport!L14</f>
        <v>0</v>
      </c>
      <c r="M9" s="465">
        <f>transport!M14</f>
        <v>11466.29612196111</v>
      </c>
      <c r="N9" s="465">
        <f>transport!N14</f>
        <v>0</v>
      </c>
      <c r="O9" s="465">
        <f>transport!O14</f>
        <v>0</v>
      </c>
      <c r="P9" s="465">
        <f>transport!P14</f>
        <v>0</v>
      </c>
      <c r="Q9" s="464">
        <f>SUM(B9:P9)</f>
        <v>275845.24133080122</v>
      </c>
    </row>
    <row r="10" spans="1:17">
      <c r="A10" s="460" t="s">
        <v>564</v>
      </c>
      <c r="B10" s="461">
        <f>transport!B54</f>
        <v>0</v>
      </c>
      <c r="C10" s="461">
        <f>transport!C54</f>
        <v>0</v>
      </c>
      <c r="D10" s="461">
        <f>transport!D54</f>
        <v>0</v>
      </c>
      <c r="E10" s="461">
        <f>transport!E54</f>
        <v>0</v>
      </c>
      <c r="F10" s="461">
        <f>transport!F54</f>
        <v>0</v>
      </c>
      <c r="G10" s="461">
        <f>transport!G54</f>
        <v>2499.7806188217396</v>
      </c>
      <c r="H10" s="461">
        <f>transport!H54</f>
        <v>0</v>
      </c>
      <c r="I10" s="461">
        <f>transport!I54</f>
        <v>0</v>
      </c>
      <c r="J10" s="461">
        <f>transport!J54</f>
        <v>0</v>
      </c>
      <c r="K10" s="461">
        <f>transport!K54</f>
        <v>0</v>
      </c>
      <c r="L10" s="461">
        <f>transport!L54</f>
        <v>0</v>
      </c>
      <c r="M10" s="461">
        <f>transport!M54</f>
        <v>106.55478754205015</v>
      </c>
      <c r="N10" s="461">
        <f>transport!N54</f>
        <v>0</v>
      </c>
      <c r="O10" s="461">
        <f>transport!O54</f>
        <v>0</v>
      </c>
      <c r="P10" s="462">
        <f>transport!P54</f>
        <v>0</v>
      </c>
      <c r="Q10" s="460">
        <f t="shared" si="0"/>
        <v>2606.3354063637898</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95984.602672311667</v>
      </c>
      <c r="C14" s="471">
        <f t="shared" ref="C14:Q14" ca="1" si="1">SUM(C4:C13)</f>
        <v>6579.6428571428569</v>
      </c>
      <c r="D14" s="471">
        <f t="shared" ca="1" si="1"/>
        <v>154157.75354551169</v>
      </c>
      <c r="E14" s="471">
        <f t="shared" si="1"/>
        <v>6134.9975517339408</v>
      </c>
      <c r="F14" s="471">
        <f t="shared" ca="1" si="1"/>
        <v>110143.12243880132</v>
      </c>
      <c r="G14" s="471">
        <f t="shared" si="1"/>
        <v>234731.80112356914</v>
      </c>
      <c r="H14" s="471">
        <f t="shared" si="1"/>
        <v>31081.445174715805</v>
      </c>
      <c r="I14" s="471">
        <f t="shared" si="1"/>
        <v>0</v>
      </c>
      <c r="J14" s="471">
        <f t="shared" si="1"/>
        <v>3037.0028109217901</v>
      </c>
      <c r="K14" s="471">
        <f t="shared" si="1"/>
        <v>0</v>
      </c>
      <c r="L14" s="471">
        <f t="shared" ca="1" si="1"/>
        <v>0</v>
      </c>
      <c r="M14" s="471">
        <f t="shared" si="1"/>
        <v>11572.85090950316</v>
      </c>
      <c r="N14" s="471">
        <f t="shared" ca="1" si="1"/>
        <v>15522.41645131266</v>
      </c>
      <c r="O14" s="471">
        <f t="shared" si="1"/>
        <v>192.29</v>
      </c>
      <c r="P14" s="472">
        <f t="shared" si="1"/>
        <v>324.13333333333333</v>
      </c>
      <c r="Q14" s="472">
        <f t="shared" ca="1" si="1"/>
        <v>669462.05886885733</v>
      </c>
    </row>
    <row r="16" spans="1:17">
      <c r="A16" s="474" t="s">
        <v>569</v>
      </c>
      <c r="B16" s="828">
        <f ca="1">huishoudens!B10</f>
        <v>0.21517131011820731</v>
      </c>
      <c r="C16" s="828">
        <f ca="1">huishoudens!C10</f>
        <v>0.23764705882352946</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9272.1180376626198</v>
      </c>
      <c r="C21" s="461">
        <f t="shared" ref="C21:C30" ca="1" si="3">C4*$C$16</f>
        <v>0</v>
      </c>
      <c r="D21" s="461">
        <f t="shared" ref="D21:D30" si="4">D4*$D$16</f>
        <v>12481.510556133257</v>
      </c>
      <c r="E21" s="461">
        <f t="shared" ref="E21:E30" si="5">E4*$E$16</f>
        <v>964.78707959615849</v>
      </c>
      <c r="F21" s="461">
        <f t="shared" ref="F21:F30" si="6">F4*$F$16</f>
        <v>8991.6068488680157</v>
      </c>
      <c r="G21" s="461">
        <f t="shared" ref="G21:G30" si="7">G4*$G$16</f>
        <v>0</v>
      </c>
      <c r="H21" s="461">
        <f t="shared" ref="H21:H30" si="8">H4*$H$16</f>
        <v>0</v>
      </c>
      <c r="I21" s="461">
        <f t="shared" ref="I21:I30" si="9">I4*$I$16</f>
        <v>0</v>
      </c>
      <c r="J21" s="461">
        <f t="shared" ref="J21:J30" si="10">J4*$J$16</f>
        <v>650.92659770023306</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32360.949119960282</v>
      </c>
    </row>
    <row r="22" spans="1:17">
      <c r="A22" s="460" t="s">
        <v>156</v>
      </c>
      <c r="B22" s="461">
        <f t="shared" ca="1" si="2"/>
        <v>6554.734668633514</v>
      </c>
      <c r="C22" s="461">
        <f t="shared" ca="1" si="3"/>
        <v>26.735294117647065</v>
      </c>
      <c r="D22" s="461">
        <f t="shared" ca="1" si="4"/>
        <v>5324.9811150722526</v>
      </c>
      <c r="E22" s="461">
        <f t="shared" si="5"/>
        <v>134.34329360637793</v>
      </c>
      <c r="F22" s="461">
        <f t="shared" ca="1" si="6"/>
        <v>1401.0992918323527</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13441.893663262144</v>
      </c>
    </row>
    <row r="23" spans="1:17">
      <c r="A23" s="460" t="s">
        <v>195</v>
      </c>
      <c r="B23" s="461">
        <f t="shared" ca="1" si="2"/>
        <v>368.79674006068359</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368.79674006068359</v>
      </c>
    </row>
    <row r="24" spans="1:17">
      <c r="A24" s="460" t="s">
        <v>112</v>
      </c>
      <c r="B24" s="461">
        <f t="shared" ca="1" si="2"/>
        <v>2828.2996126255125</v>
      </c>
      <c r="C24" s="461">
        <f t="shared" ca="1" si="3"/>
        <v>1536.8974789915969</v>
      </c>
      <c r="D24" s="461">
        <f t="shared" si="4"/>
        <v>9172.0201422990613</v>
      </c>
      <c r="E24" s="461">
        <f t="shared" si="5"/>
        <v>31.246797926693809</v>
      </c>
      <c r="F24" s="461">
        <f t="shared" si="6"/>
        <v>18025.644010896984</v>
      </c>
      <c r="G24" s="461">
        <f t="shared" si="7"/>
        <v>0</v>
      </c>
      <c r="H24" s="461">
        <f t="shared" si="8"/>
        <v>0</v>
      </c>
      <c r="I24" s="461">
        <f t="shared" si="9"/>
        <v>0</v>
      </c>
      <c r="J24" s="461">
        <f t="shared" si="10"/>
        <v>415.56537921207723</v>
      </c>
      <c r="K24" s="461">
        <f t="shared" si="11"/>
        <v>0</v>
      </c>
      <c r="L24" s="461">
        <f t="shared" si="12"/>
        <v>0</v>
      </c>
      <c r="M24" s="461">
        <f t="shared" si="13"/>
        <v>0</v>
      </c>
      <c r="N24" s="461">
        <f t="shared" si="14"/>
        <v>0</v>
      </c>
      <c r="O24" s="461">
        <f t="shared" si="15"/>
        <v>0</v>
      </c>
      <c r="P24" s="462">
        <f t="shared" si="16"/>
        <v>0</v>
      </c>
      <c r="Q24" s="460">
        <f t="shared" ca="1" si="17"/>
        <v>32009.673421951924</v>
      </c>
    </row>
    <row r="25" spans="1:17">
      <c r="A25" s="460" t="s">
        <v>656</v>
      </c>
      <c r="B25" s="461">
        <f t="shared" ca="1" si="2"/>
        <v>1628.7823942976479</v>
      </c>
      <c r="C25" s="461">
        <f t="shared" ca="1" si="3"/>
        <v>0</v>
      </c>
      <c r="D25" s="461">
        <f t="shared" si="4"/>
        <v>4159.5333349201837</v>
      </c>
      <c r="E25" s="461">
        <f t="shared" si="5"/>
        <v>22.873180615546215</v>
      </c>
      <c r="F25" s="461">
        <f t="shared" si="6"/>
        <v>989.86353956260587</v>
      </c>
      <c r="G25" s="461">
        <f t="shared" si="7"/>
        <v>0</v>
      </c>
      <c r="H25" s="461">
        <f t="shared" si="8"/>
        <v>0</v>
      </c>
      <c r="I25" s="461">
        <f t="shared" si="9"/>
        <v>0</v>
      </c>
      <c r="J25" s="461">
        <f t="shared" si="10"/>
        <v>8.6070181540033719</v>
      </c>
      <c r="K25" s="461">
        <f t="shared" si="11"/>
        <v>0</v>
      </c>
      <c r="L25" s="461">
        <f t="shared" si="12"/>
        <v>0</v>
      </c>
      <c r="M25" s="461">
        <f t="shared" si="13"/>
        <v>0</v>
      </c>
      <c r="N25" s="461">
        <f t="shared" si="14"/>
        <v>0</v>
      </c>
      <c r="O25" s="461">
        <f t="shared" si="15"/>
        <v>0</v>
      </c>
      <c r="P25" s="462">
        <f t="shared" si="16"/>
        <v>0</v>
      </c>
      <c r="Q25" s="460">
        <f t="shared" ca="1" si="17"/>
        <v>6809.6594675499873</v>
      </c>
    </row>
    <row r="26" spans="1:17" s="466" customFormat="1">
      <c r="A26" s="464" t="s">
        <v>574</v>
      </c>
      <c r="B26" s="822">
        <f t="shared" ca="1" si="2"/>
        <v>0.40125489690735194</v>
      </c>
      <c r="C26" s="465">
        <f t="shared" ca="1" si="3"/>
        <v>0</v>
      </c>
      <c r="D26" s="465">
        <f t="shared" si="4"/>
        <v>1.8210677686104877</v>
      </c>
      <c r="E26" s="465">
        <f t="shared" si="5"/>
        <v>239.39409249882831</v>
      </c>
      <c r="F26" s="465">
        <f t="shared" si="6"/>
        <v>0</v>
      </c>
      <c r="G26" s="465">
        <f t="shared" si="7"/>
        <v>62005.949474767556</v>
      </c>
      <c r="H26" s="465">
        <f t="shared" si="8"/>
        <v>7739.2798485042358</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69986.845738436139</v>
      </c>
    </row>
    <row r="27" spans="1:17">
      <c r="A27" s="460" t="s">
        <v>564</v>
      </c>
      <c r="B27" s="461">
        <f t="shared" ca="1" si="2"/>
        <v>0</v>
      </c>
      <c r="C27" s="461">
        <f t="shared" ca="1" si="3"/>
        <v>0</v>
      </c>
      <c r="D27" s="461">
        <f t="shared" si="4"/>
        <v>0</v>
      </c>
      <c r="E27" s="461">
        <f t="shared" si="5"/>
        <v>0</v>
      </c>
      <c r="F27" s="461">
        <f t="shared" si="6"/>
        <v>0</v>
      </c>
      <c r="G27" s="461">
        <f t="shared" si="7"/>
        <v>667.44142522540449</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667.44142522540449</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20653.132708176883</v>
      </c>
      <c r="C31" s="471">
        <f t="shared" ca="1" si="18"/>
        <v>1563.632773109244</v>
      </c>
      <c r="D31" s="471">
        <f t="shared" ca="1" si="18"/>
        <v>31139.866216193364</v>
      </c>
      <c r="E31" s="471">
        <f t="shared" si="18"/>
        <v>1392.6444442436048</v>
      </c>
      <c r="F31" s="471">
        <f t="shared" ca="1" si="18"/>
        <v>29408.213691159955</v>
      </c>
      <c r="G31" s="471">
        <f t="shared" si="18"/>
        <v>62673.390899992963</v>
      </c>
      <c r="H31" s="471">
        <f t="shared" si="18"/>
        <v>7739.2798485042358</v>
      </c>
      <c r="I31" s="471">
        <f t="shared" si="18"/>
        <v>0</v>
      </c>
      <c r="J31" s="471">
        <f t="shared" si="18"/>
        <v>1075.0989950663136</v>
      </c>
      <c r="K31" s="471">
        <f t="shared" si="18"/>
        <v>0</v>
      </c>
      <c r="L31" s="471">
        <f t="shared" ca="1" si="18"/>
        <v>0</v>
      </c>
      <c r="M31" s="471">
        <f t="shared" si="18"/>
        <v>0</v>
      </c>
      <c r="N31" s="471">
        <f t="shared" ca="1" si="18"/>
        <v>0</v>
      </c>
      <c r="O31" s="471">
        <f t="shared" si="18"/>
        <v>0</v>
      </c>
      <c r="P31" s="472">
        <f t="shared" si="18"/>
        <v>0</v>
      </c>
      <c r="Q31" s="472">
        <f t="shared" ca="1" si="18"/>
        <v>155645.25957644655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0.21517131011820731</v>
      </c>
      <c r="C17" s="511">
        <f ca="1">'EF ele_warmte'!B22</f>
        <v>0.23764705882352946</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0.21517131011820731</v>
      </c>
      <c r="C17" s="511">
        <f ca="1">'EF ele_warmte'!B22</f>
        <v>0.23764705882352946</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0.21517131011820731</v>
      </c>
      <c r="C29" s="512">
        <f ca="1">'EF ele_warmte'!B22</f>
        <v>0.23764705882352946</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44034</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8329</v>
      </c>
      <c r="C9" s="336">
        <v>9390</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3345</v>
      </c>
    </row>
    <row r="15" spans="1:6">
      <c r="A15" s="1194" t="s">
        <v>185</v>
      </c>
      <c r="B15" s="333">
        <v>55</v>
      </c>
    </row>
    <row r="16" spans="1:6">
      <c r="A16" s="1194" t="s">
        <v>6</v>
      </c>
      <c r="B16" s="333">
        <v>1788</v>
      </c>
    </row>
    <row r="17" spans="1:6">
      <c r="A17" s="1194" t="s">
        <v>7</v>
      </c>
      <c r="B17" s="333">
        <v>1658</v>
      </c>
    </row>
    <row r="18" spans="1:6">
      <c r="A18" s="1194" t="s">
        <v>8</v>
      </c>
      <c r="B18" s="333">
        <v>2566</v>
      </c>
    </row>
    <row r="19" spans="1:6">
      <c r="A19" s="1194" t="s">
        <v>9</v>
      </c>
      <c r="B19" s="333">
        <v>2599</v>
      </c>
    </row>
    <row r="20" spans="1:6">
      <c r="A20" s="1194" t="s">
        <v>10</v>
      </c>
      <c r="B20" s="333">
        <v>1814</v>
      </c>
    </row>
    <row r="21" spans="1:6">
      <c r="A21" s="1194" t="s">
        <v>11</v>
      </c>
      <c r="B21" s="333">
        <v>13549</v>
      </c>
    </row>
    <row r="22" spans="1:6">
      <c r="A22" s="1194" t="s">
        <v>12</v>
      </c>
      <c r="B22" s="333">
        <v>10198</v>
      </c>
    </row>
    <row r="23" spans="1:6">
      <c r="A23" s="1194" t="s">
        <v>13</v>
      </c>
      <c r="B23" s="333">
        <v>390</v>
      </c>
    </row>
    <row r="24" spans="1:6">
      <c r="A24" s="1194" t="s">
        <v>14</v>
      </c>
      <c r="B24" s="333">
        <v>24</v>
      </c>
    </row>
    <row r="25" spans="1:6">
      <c r="A25" s="1194" t="s">
        <v>15</v>
      </c>
      <c r="B25" s="333">
        <v>3647</v>
      </c>
    </row>
    <row r="26" spans="1:6">
      <c r="A26" s="1194" t="s">
        <v>16</v>
      </c>
      <c r="B26" s="333">
        <v>217</v>
      </c>
    </row>
    <row r="27" spans="1:6">
      <c r="A27" s="1194" t="s">
        <v>17</v>
      </c>
      <c r="B27" s="333">
        <v>776</v>
      </c>
    </row>
    <row r="28" spans="1:6">
      <c r="A28" s="1194" t="s">
        <v>18</v>
      </c>
      <c r="B28" s="333">
        <v>18250</v>
      </c>
    </row>
    <row r="29" spans="1:6">
      <c r="A29" s="1194" t="s">
        <v>888</v>
      </c>
      <c r="B29" s="333">
        <v>166</v>
      </c>
    </row>
    <row r="30" spans="1:6">
      <c r="A30" s="1190" t="s">
        <v>889</v>
      </c>
      <c r="B30" s="1190">
        <v>64</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1</v>
      </c>
      <c r="D38" s="333">
        <v>176774.67236995001</v>
      </c>
      <c r="E38" s="333">
        <v>5</v>
      </c>
      <c r="F38" s="333">
        <v>106952.76719648601</v>
      </c>
    </row>
    <row r="39" spans="1:6">
      <c r="A39" s="1194" t="s">
        <v>30</v>
      </c>
      <c r="B39" s="1194" t="s">
        <v>31</v>
      </c>
      <c r="C39" s="333">
        <v>4208</v>
      </c>
      <c r="D39" s="333">
        <v>68502944.809846401</v>
      </c>
      <c r="E39" s="333">
        <v>7775</v>
      </c>
      <c r="F39" s="333">
        <v>40503618.255861796</v>
      </c>
    </row>
    <row r="40" spans="1:6">
      <c r="A40" s="1194" t="s">
        <v>30</v>
      </c>
      <c r="B40" s="1194" t="s">
        <v>29</v>
      </c>
      <c r="C40" s="333">
        <v>0</v>
      </c>
      <c r="D40" s="333">
        <v>0</v>
      </c>
      <c r="E40" s="333">
        <v>0</v>
      </c>
      <c r="F40" s="333">
        <v>0</v>
      </c>
    </row>
    <row r="41" spans="1:6">
      <c r="A41" s="1194" t="s">
        <v>32</v>
      </c>
      <c r="B41" s="1194" t="s">
        <v>33</v>
      </c>
      <c r="C41" s="333">
        <v>40</v>
      </c>
      <c r="D41" s="333">
        <v>931387.338490222</v>
      </c>
      <c r="E41" s="333">
        <v>151</v>
      </c>
      <c r="F41" s="333">
        <v>3889790.8967949902</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4</v>
      </c>
      <c r="D44" s="333">
        <v>83976.791592063702</v>
      </c>
      <c r="E44" s="333">
        <v>18</v>
      </c>
      <c r="F44" s="333">
        <v>238101.81410703101</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6</v>
      </c>
      <c r="D47" s="333">
        <v>222212.38145539101</v>
      </c>
      <c r="E47" s="333">
        <v>11</v>
      </c>
      <c r="F47" s="333">
        <v>118140.788936863</v>
      </c>
    </row>
    <row r="48" spans="1:6">
      <c r="A48" s="1194" t="s">
        <v>32</v>
      </c>
      <c r="B48" s="1194" t="s">
        <v>29</v>
      </c>
      <c r="C48" s="333">
        <v>28</v>
      </c>
      <c r="D48" s="333">
        <v>21119284.102709901</v>
      </c>
      <c r="E48" s="333">
        <v>28</v>
      </c>
      <c r="F48" s="333">
        <v>2050406.91600919</v>
      </c>
    </row>
    <row r="49" spans="1:6">
      <c r="A49" s="1194" t="s">
        <v>32</v>
      </c>
      <c r="B49" s="1194" t="s">
        <v>40</v>
      </c>
      <c r="C49" s="333">
        <v>0</v>
      </c>
      <c r="D49" s="333">
        <v>0</v>
      </c>
      <c r="E49" s="333">
        <v>0</v>
      </c>
      <c r="F49" s="333">
        <v>0</v>
      </c>
    </row>
    <row r="50" spans="1:6">
      <c r="A50" s="1194" t="s">
        <v>32</v>
      </c>
      <c r="B50" s="1194" t="s">
        <v>41</v>
      </c>
      <c r="C50" s="333">
        <v>7</v>
      </c>
      <c r="D50" s="333">
        <v>472129.61055639602</v>
      </c>
      <c r="E50" s="333">
        <v>16</v>
      </c>
      <c r="F50" s="333">
        <v>1273260.1794722499</v>
      </c>
    </row>
    <row r="51" spans="1:6">
      <c r="A51" s="1194" t="s">
        <v>42</v>
      </c>
      <c r="B51" s="1194" t="s">
        <v>43</v>
      </c>
      <c r="C51" s="333">
        <v>113</v>
      </c>
      <c r="D51" s="333">
        <v>60862818.049432799</v>
      </c>
      <c r="E51" s="333">
        <v>471</v>
      </c>
      <c r="F51" s="333">
        <v>13103681.802622801</v>
      </c>
    </row>
    <row r="52" spans="1:6">
      <c r="A52" s="1194" t="s">
        <v>42</v>
      </c>
      <c r="B52" s="1194" t="s">
        <v>29</v>
      </c>
      <c r="C52" s="333">
        <v>7</v>
      </c>
      <c r="D52" s="333">
        <v>109203.68858466401</v>
      </c>
      <c r="E52" s="333">
        <v>3</v>
      </c>
      <c r="F52" s="333">
        <v>40726.766864215002</v>
      </c>
    </row>
    <row r="53" spans="1:6">
      <c r="A53" s="1194" t="s">
        <v>44</v>
      </c>
      <c r="B53" s="1194" t="s">
        <v>45</v>
      </c>
      <c r="C53" s="333">
        <v>182</v>
      </c>
      <c r="D53" s="333">
        <v>3706831.9456819901</v>
      </c>
      <c r="E53" s="333">
        <v>343</v>
      </c>
      <c r="F53" s="333">
        <v>2171163.2485820502</v>
      </c>
    </row>
    <row r="54" spans="1:6">
      <c r="A54" s="1194" t="s">
        <v>46</v>
      </c>
      <c r="B54" s="1194" t="s">
        <v>47</v>
      </c>
      <c r="C54" s="333">
        <v>0</v>
      </c>
      <c r="D54" s="333">
        <v>0</v>
      </c>
      <c r="E54" s="333">
        <v>4</v>
      </c>
      <c r="F54" s="333">
        <v>1713968</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39</v>
      </c>
      <c r="D57" s="333">
        <v>1685967.5514727801</v>
      </c>
      <c r="E57" s="333">
        <v>130</v>
      </c>
      <c r="F57" s="333">
        <v>2070498.64083326</v>
      </c>
    </row>
    <row r="58" spans="1:6">
      <c r="A58" s="1194" t="s">
        <v>49</v>
      </c>
      <c r="B58" s="1194" t="s">
        <v>51</v>
      </c>
      <c r="C58" s="333">
        <v>16</v>
      </c>
      <c r="D58" s="333">
        <v>3350150.1529473299</v>
      </c>
      <c r="E58" s="333">
        <v>38</v>
      </c>
      <c r="F58" s="333">
        <v>1493260.28437813</v>
      </c>
    </row>
    <row r="59" spans="1:6">
      <c r="A59" s="1194" t="s">
        <v>49</v>
      </c>
      <c r="B59" s="1194" t="s">
        <v>52</v>
      </c>
      <c r="C59" s="333">
        <v>123</v>
      </c>
      <c r="D59" s="333">
        <v>7519902.2295977902</v>
      </c>
      <c r="E59" s="333">
        <v>266</v>
      </c>
      <c r="F59" s="333">
        <v>12414255.105050299</v>
      </c>
    </row>
    <row r="60" spans="1:6">
      <c r="A60" s="1194" t="s">
        <v>49</v>
      </c>
      <c r="B60" s="1194" t="s">
        <v>53</v>
      </c>
      <c r="C60" s="333">
        <v>54</v>
      </c>
      <c r="D60" s="333">
        <v>3444976.5471840799</v>
      </c>
      <c r="E60" s="333">
        <v>75</v>
      </c>
      <c r="F60" s="333">
        <v>2370701.99608006</v>
      </c>
    </row>
    <row r="61" spans="1:6">
      <c r="A61" s="1194" t="s">
        <v>49</v>
      </c>
      <c r="B61" s="1194" t="s">
        <v>54</v>
      </c>
      <c r="C61" s="333">
        <v>129</v>
      </c>
      <c r="D61" s="333">
        <v>6986215.6783061996</v>
      </c>
      <c r="E61" s="333">
        <v>291</v>
      </c>
      <c r="F61" s="333">
        <v>9217166.0387002192</v>
      </c>
    </row>
    <row r="62" spans="1:6">
      <c r="A62" s="1194" t="s">
        <v>49</v>
      </c>
      <c r="B62" s="1194" t="s">
        <v>55</v>
      </c>
      <c r="C62" s="333">
        <v>10</v>
      </c>
      <c r="D62" s="333">
        <v>487697.45441728999</v>
      </c>
      <c r="E62" s="333">
        <v>10</v>
      </c>
      <c r="F62" s="333">
        <v>95363.375235189102</v>
      </c>
    </row>
    <row r="63" spans="1:6">
      <c r="A63" s="1194" t="s">
        <v>49</v>
      </c>
      <c r="B63" s="1194" t="s">
        <v>29</v>
      </c>
      <c r="C63" s="333">
        <v>90</v>
      </c>
      <c r="D63" s="333">
        <v>5999915.9391482901</v>
      </c>
      <c r="E63" s="333">
        <v>96</v>
      </c>
      <c r="F63" s="333">
        <v>2722870.00880423</v>
      </c>
    </row>
    <row r="64" spans="1:6">
      <c r="A64" s="1194" t="s">
        <v>56</v>
      </c>
      <c r="B64" s="1194" t="s">
        <v>57</v>
      </c>
      <c r="C64" s="333">
        <v>0</v>
      </c>
      <c r="D64" s="333">
        <v>0</v>
      </c>
      <c r="E64" s="333">
        <v>0</v>
      </c>
      <c r="F64" s="333">
        <v>0</v>
      </c>
    </row>
    <row r="65" spans="1:6">
      <c r="A65" s="1194" t="s">
        <v>56</v>
      </c>
      <c r="B65" s="1194" t="s">
        <v>29</v>
      </c>
      <c r="C65" s="333">
        <v>3</v>
      </c>
      <c r="D65" s="333">
        <v>70018.306639585702</v>
      </c>
      <c r="E65" s="333">
        <v>2</v>
      </c>
      <c r="F65" s="333">
        <v>5829.5942286129002</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4</v>
      </c>
      <c r="D68" s="333">
        <v>109353.177205161</v>
      </c>
      <c r="E68" s="333">
        <v>24</v>
      </c>
      <c r="F68" s="333">
        <v>308689.89721300802</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62063550</v>
      </c>
      <c r="E73" s="333">
        <v>61549278.108402386</v>
      </c>
      <c r="F73" s="333">
        <v>63061780</v>
      </c>
    </row>
    <row r="74" spans="1:6">
      <c r="A74" s="1194" t="s">
        <v>64</v>
      </c>
      <c r="B74" s="1194" t="s">
        <v>775</v>
      </c>
      <c r="C74" s="1205" t="s">
        <v>776</v>
      </c>
      <c r="D74" s="333">
        <v>7258317.5394345056</v>
      </c>
      <c r="E74" s="333">
        <v>7335910.1746740835</v>
      </c>
      <c r="F74" s="333">
        <v>7498181.2430779031</v>
      </c>
    </row>
    <row r="75" spans="1:6">
      <c r="A75" s="1194" t="s">
        <v>65</v>
      </c>
      <c r="B75" s="1194" t="s">
        <v>773</v>
      </c>
      <c r="C75" s="1205" t="s">
        <v>777</v>
      </c>
      <c r="D75" s="333">
        <v>29257298</v>
      </c>
      <c r="E75" s="333">
        <v>29232857.155358408</v>
      </c>
      <c r="F75" s="333">
        <v>29684997</v>
      </c>
    </row>
    <row r="76" spans="1:6">
      <c r="A76" s="1194" t="s">
        <v>65</v>
      </c>
      <c r="B76" s="1194" t="s">
        <v>775</v>
      </c>
      <c r="C76" s="1205" t="s">
        <v>778</v>
      </c>
      <c r="D76" s="333">
        <v>1285771.5394345056</v>
      </c>
      <c r="E76" s="333">
        <v>1314107.016414911</v>
      </c>
      <c r="F76" s="333">
        <v>1365463.2430779035</v>
      </c>
    </row>
    <row r="77" spans="1:6">
      <c r="A77" s="1194" t="s">
        <v>66</v>
      </c>
      <c r="B77" s="1194" t="s">
        <v>773</v>
      </c>
      <c r="C77" s="1205" t="s">
        <v>779</v>
      </c>
      <c r="D77" s="333">
        <v>142247459</v>
      </c>
      <c r="E77" s="333">
        <v>156578407.94098526</v>
      </c>
      <c r="F77" s="333">
        <v>144547666</v>
      </c>
    </row>
    <row r="78" spans="1:6">
      <c r="A78" s="1190" t="s">
        <v>66</v>
      </c>
      <c r="B78" s="1190" t="s">
        <v>775</v>
      </c>
      <c r="C78" s="1190" t="s">
        <v>780</v>
      </c>
      <c r="D78" s="1190">
        <v>34584964</v>
      </c>
      <c r="E78" s="1190">
        <v>37213875.125712</v>
      </c>
      <c r="F78" s="336">
        <v>35199463</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685372.92113098886</v>
      </c>
      <c r="C83" s="333">
        <v>626175.71583268361</v>
      </c>
      <c r="D83" s="333">
        <v>617155.51384419319</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2588.1769865841188</v>
      </c>
    </row>
    <row r="92" spans="1:6">
      <c r="A92" s="1190" t="s">
        <v>69</v>
      </c>
      <c r="B92" s="336">
        <v>290.26950020532303</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1839</v>
      </c>
    </row>
    <row r="98" spans="1:6">
      <c r="A98" s="1194" t="s">
        <v>72</v>
      </c>
      <c r="B98" s="333">
        <v>1</v>
      </c>
    </row>
    <row r="99" spans="1:6">
      <c r="A99" s="1194" t="s">
        <v>73</v>
      </c>
      <c r="B99" s="333">
        <v>88</v>
      </c>
    </row>
    <row r="100" spans="1:6">
      <c r="A100" s="1194" t="s">
        <v>74</v>
      </c>
      <c r="B100" s="333">
        <v>900</v>
      </c>
    </row>
    <row r="101" spans="1:6">
      <c r="A101" s="1194" t="s">
        <v>75</v>
      </c>
      <c r="B101" s="333">
        <v>104</v>
      </c>
    </row>
    <row r="102" spans="1:6">
      <c r="A102" s="1194" t="s">
        <v>76</v>
      </c>
      <c r="B102" s="333">
        <v>110</v>
      </c>
    </row>
    <row r="103" spans="1:6">
      <c r="A103" s="1194" t="s">
        <v>77</v>
      </c>
      <c r="B103" s="333">
        <v>301</v>
      </c>
    </row>
    <row r="104" spans="1:6">
      <c r="A104" s="1194" t="s">
        <v>78</v>
      </c>
      <c r="B104" s="333">
        <v>3609</v>
      </c>
    </row>
    <row r="105" spans="1:6">
      <c r="A105" s="1190" t="s">
        <v>79</v>
      </c>
      <c r="B105" s="1190">
        <v>12</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7</v>
      </c>
      <c r="C123" s="333">
        <v>32</v>
      </c>
    </row>
    <row r="124" spans="1:6">
      <c r="A124" s="1190" t="s">
        <v>89</v>
      </c>
      <c r="B124" s="333">
        <v>3</v>
      </c>
      <c r="C124" s="333">
        <v>2</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88</v>
      </c>
    </row>
    <row r="130" spans="1:6">
      <c r="A130" s="1194" t="s">
        <v>296</v>
      </c>
      <c r="B130" s="333">
        <v>1</v>
      </c>
    </row>
    <row r="131" spans="1:6">
      <c r="A131" s="1194" t="s">
        <v>297</v>
      </c>
      <c r="B131" s="333">
        <v>1</v>
      </c>
    </row>
    <row r="132" spans="1:6">
      <c r="A132" s="1190" t="s">
        <v>298</v>
      </c>
      <c r="B132" s="336">
        <v>6</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95984.602672311681</v>
      </c>
      <c r="C3" s="43" t="s">
        <v>171</v>
      </c>
      <c r="D3" s="43"/>
      <c r="E3" s="156"/>
      <c r="F3" s="43"/>
      <c r="G3" s="43"/>
      <c r="H3" s="43"/>
      <c r="I3" s="43"/>
      <c r="J3" s="43"/>
      <c r="K3" s="96"/>
    </row>
    <row r="4" spans="1:11">
      <c r="A4" s="364" t="s">
        <v>172</v>
      </c>
      <c r="B4" s="49">
        <f>IF(ISERROR('SEAP template'!B69),0,'SEAP template'!B69)</f>
        <v>7484.1964867894421</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1094.542941176471</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0.21517131011820731</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1563.632773109244</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6579.6428571428569</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0.23764705882352946</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1713.9680000000001</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1713.9680000000001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0.21517131011820731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368.79674006068359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40503.618255861795</v>
      </c>
      <c r="C5" s="17">
        <f>IF(ISERROR('Eigen informatie GS &amp; warmtenet'!B57),0,'Eigen informatie GS &amp; warmtenet'!B57)</f>
        <v>0</v>
      </c>
      <c r="D5" s="30">
        <f>(SUM(HH_hh_gas_kWh,HH_rest_gas_kWh)/1000)*0.902</f>
        <v>61789.656218481461</v>
      </c>
      <c r="E5" s="17">
        <f>B46*B57</f>
        <v>4250.1633462385835</v>
      </c>
      <c r="F5" s="17">
        <f>B51*B62</f>
        <v>33676.430145573089</v>
      </c>
      <c r="G5" s="18"/>
      <c r="H5" s="17"/>
      <c r="I5" s="17"/>
      <c r="J5" s="17">
        <f>B50*B61+C50*C61</f>
        <v>1838.7756997181725</v>
      </c>
      <c r="K5" s="17"/>
      <c r="L5" s="17"/>
      <c r="M5" s="17"/>
      <c r="N5" s="17">
        <f>B48*B59+C48*C59</f>
        <v>14533.030655745308</v>
      </c>
      <c r="O5" s="17">
        <f>B69*B70*B71</f>
        <v>190.72666666666666</v>
      </c>
      <c r="P5" s="17">
        <f>B77*B78*B79/1000-B77*B78*B79/1000/B80</f>
        <v>305.06666666666666</v>
      </c>
    </row>
    <row r="6" spans="1:16">
      <c r="A6" s="16" t="s">
        <v>633</v>
      </c>
      <c r="B6" s="830">
        <f>kWh_PV_kleiner_dan_10kW</f>
        <v>2588.1769865841188</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43091.795242445914</v>
      </c>
      <c r="C8" s="21">
        <f>C5</f>
        <v>0</v>
      </c>
      <c r="D8" s="21">
        <f>D5</f>
        <v>61789.656218481461</v>
      </c>
      <c r="E8" s="21">
        <f>E5</f>
        <v>4250.1633462385835</v>
      </c>
      <c r="F8" s="21">
        <f>F5</f>
        <v>33676.430145573089</v>
      </c>
      <c r="G8" s="21"/>
      <c r="H8" s="21"/>
      <c r="I8" s="21"/>
      <c r="J8" s="21">
        <f>J5</f>
        <v>1838.7756997181725</v>
      </c>
      <c r="K8" s="21"/>
      <c r="L8" s="21">
        <f>L5</f>
        <v>0</v>
      </c>
      <c r="M8" s="21">
        <f>M5</f>
        <v>0</v>
      </c>
      <c r="N8" s="21">
        <f>N5</f>
        <v>14533.030655745308</v>
      </c>
      <c r="O8" s="21">
        <f>O5</f>
        <v>190.72666666666666</v>
      </c>
      <c r="P8" s="21">
        <f>P5</f>
        <v>305.06666666666666</v>
      </c>
    </row>
    <row r="9" spans="1:16">
      <c r="B9" s="19"/>
      <c r="C9" s="19"/>
      <c r="D9" s="260"/>
      <c r="E9" s="19"/>
      <c r="F9" s="19"/>
      <c r="G9" s="19"/>
      <c r="H9" s="19"/>
      <c r="I9" s="19"/>
      <c r="J9" s="19"/>
      <c r="K9" s="19"/>
      <c r="L9" s="19"/>
      <c r="M9" s="19"/>
      <c r="N9" s="19"/>
      <c r="O9" s="19"/>
      <c r="P9" s="19"/>
    </row>
    <row r="10" spans="1:16">
      <c r="A10" s="24" t="s">
        <v>215</v>
      </c>
      <c r="B10" s="25">
        <f ca="1">'EF ele_warmte'!B12</f>
        <v>0.21517131011820731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9272.1180376626198</v>
      </c>
      <c r="C12" s="23">
        <f ca="1">C10*C8</f>
        <v>0</v>
      </c>
      <c r="D12" s="23">
        <f>D8*D10</f>
        <v>12481.510556133257</v>
      </c>
      <c r="E12" s="23">
        <f>E10*E8</f>
        <v>964.78707959615849</v>
      </c>
      <c r="F12" s="23">
        <f>F10*F8</f>
        <v>8991.6068488680157</v>
      </c>
      <c r="G12" s="23"/>
      <c r="H12" s="23"/>
      <c r="I12" s="23"/>
      <c r="J12" s="23">
        <f>J10*J8</f>
        <v>650.92659770023306</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1839</v>
      </c>
      <c r="C18" s="167" t="s">
        <v>111</v>
      </c>
      <c r="D18" s="229"/>
      <c r="E18" s="15"/>
    </row>
    <row r="19" spans="1:7">
      <c r="A19" s="172" t="s">
        <v>72</v>
      </c>
      <c r="B19" s="37">
        <f>aantalw2001_ander</f>
        <v>1</v>
      </c>
      <c r="C19" s="167" t="s">
        <v>111</v>
      </c>
      <c r="D19" s="230"/>
      <c r="E19" s="15"/>
    </row>
    <row r="20" spans="1:7">
      <c r="A20" s="172" t="s">
        <v>73</v>
      </c>
      <c r="B20" s="37">
        <f>aantalw2001_propaan</f>
        <v>88</v>
      </c>
      <c r="C20" s="168">
        <f>IF(ISERROR(B20/SUM($B$20,$B$21,$B$22)*100),0,B20/SUM($B$20,$B$21,$B$22)*100)</f>
        <v>8.0586080586080584</v>
      </c>
      <c r="D20" s="230"/>
      <c r="E20" s="15"/>
    </row>
    <row r="21" spans="1:7">
      <c r="A21" s="172" t="s">
        <v>74</v>
      </c>
      <c r="B21" s="37">
        <f>aantalw2001_elektriciteit</f>
        <v>900</v>
      </c>
      <c r="C21" s="168">
        <f>IF(ISERROR(B21/SUM($B$20,$B$21,$B$22)*100),0,B21/SUM($B$20,$B$21,$B$22)*100)</f>
        <v>82.417582417582409</v>
      </c>
      <c r="D21" s="230"/>
      <c r="E21" s="15"/>
    </row>
    <row r="22" spans="1:7">
      <c r="A22" s="172" t="s">
        <v>75</v>
      </c>
      <c r="B22" s="37">
        <f>aantalw2001_hout</f>
        <v>104</v>
      </c>
      <c r="C22" s="168">
        <f>IF(ISERROR(B22/SUM($B$20,$B$21,$B$22)*100),0,B22/SUM($B$20,$B$21,$B$22)*100)</f>
        <v>9.5238095238095237</v>
      </c>
      <c r="D22" s="230"/>
      <c r="E22" s="15"/>
    </row>
    <row r="23" spans="1:7">
      <c r="A23" s="172" t="s">
        <v>76</v>
      </c>
      <c r="B23" s="37">
        <f>aantalw2001_niet_gespec</f>
        <v>110</v>
      </c>
      <c r="C23" s="167" t="s">
        <v>111</v>
      </c>
      <c r="D23" s="229"/>
      <c r="E23" s="15"/>
    </row>
    <row r="24" spans="1:7">
      <c r="A24" s="172" t="s">
        <v>77</v>
      </c>
      <c r="B24" s="37">
        <f>aantalw2001_steenkool</f>
        <v>301</v>
      </c>
      <c r="C24" s="167" t="s">
        <v>111</v>
      </c>
      <c r="D24" s="230"/>
      <c r="E24" s="15"/>
    </row>
    <row r="25" spans="1:7">
      <c r="A25" s="172" t="s">
        <v>78</v>
      </c>
      <c r="B25" s="37">
        <f>aantalw2001_stookolie</f>
        <v>3609</v>
      </c>
      <c r="C25" s="167" t="s">
        <v>111</v>
      </c>
      <c r="D25" s="229"/>
      <c r="E25" s="52"/>
    </row>
    <row r="26" spans="1:7">
      <c r="A26" s="172" t="s">
        <v>79</v>
      </c>
      <c r="B26" s="37">
        <f>aantalw2001_WP</f>
        <v>12</v>
      </c>
      <c r="C26" s="167" t="s">
        <v>111</v>
      </c>
      <c r="D26" s="229"/>
      <c r="E26" s="15"/>
    </row>
    <row r="27" spans="1:7" s="15" customFormat="1">
      <c r="A27" s="172"/>
      <c r="B27" s="29"/>
      <c r="C27" s="36"/>
      <c r="D27" s="229"/>
    </row>
    <row r="28" spans="1:7" s="15" customFormat="1">
      <c r="A28" s="231" t="s">
        <v>713</v>
      </c>
      <c r="B28" s="37">
        <f>aantalHuishoudens2011</f>
        <v>8329</v>
      </c>
      <c r="C28" s="36"/>
      <c r="D28" s="229"/>
    </row>
    <row r="29" spans="1:7" s="15" customFormat="1">
      <c r="A29" s="231" t="s">
        <v>714</v>
      </c>
      <c r="B29" s="37">
        <f>SUM(HH_hh_gas_aantal,HH_rest_gas_aantal)</f>
        <v>4208</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4208</v>
      </c>
      <c r="C32" s="168">
        <f>IF(ISERROR(B32/SUM($B$32,$B$34,$B$35,$B$36,$B$38,$B$39)*100),0,B32/SUM($B$32,$B$34,$B$35,$B$36,$B$38,$B$39)*100)</f>
        <v>50.619511608324309</v>
      </c>
      <c r="D32" s="234"/>
      <c r="G32" s="15"/>
    </row>
    <row r="33" spans="1:7">
      <c r="A33" s="172" t="s">
        <v>72</v>
      </c>
      <c r="B33" s="34" t="s">
        <v>111</v>
      </c>
      <c r="C33" s="168"/>
      <c r="D33" s="234"/>
      <c r="G33" s="15"/>
    </row>
    <row r="34" spans="1:7">
      <c r="A34" s="172" t="s">
        <v>73</v>
      </c>
      <c r="B34" s="33">
        <f>IF((($B$28-$B$32-$B$39-$B$77-$B$38)*C20/100)&lt;0,0,($B$28-$B$32-$B$39-$B$77-$B$38)*C20/100)</f>
        <v>206.62271062271063</v>
      </c>
      <c r="C34" s="168">
        <f>IF(ISERROR(B34/SUM($B$32,$B$34,$B$35,$B$36,$B$38,$B$39)*100),0,B34/SUM($B$32,$B$34,$B$35,$B$36,$B$38,$B$39)*100)</f>
        <v>2.4855372383340626</v>
      </c>
      <c r="D34" s="234"/>
      <c r="G34" s="15"/>
    </row>
    <row r="35" spans="1:7">
      <c r="A35" s="172" t="s">
        <v>74</v>
      </c>
      <c r="B35" s="33">
        <f>IF((($B$28-$B$32-$B$39-$B$77-$B$38)*C21/100)&lt;0,0,($B$28-$B$32-$B$39-$B$77-$B$38)*C21/100)</f>
        <v>2113.1868131868132</v>
      </c>
      <c r="C35" s="168">
        <f>IF(ISERROR(B35/SUM($B$32,$B$34,$B$35,$B$36,$B$38,$B$39)*100),0,B35/SUM($B$32,$B$34,$B$35,$B$36,$B$38,$B$39)*100)</f>
        <v>25.42026721023473</v>
      </c>
      <c r="D35" s="234"/>
      <c r="G35" s="15"/>
    </row>
    <row r="36" spans="1:7">
      <c r="A36" s="172" t="s">
        <v>75</v>
      </c>
      <c r="B36" s="33">
        <f>IF((($B$28-$B$32-$B$39-$B$77-$B$38)*C22/100)&lt;0,0,($B$28-$B$32-$B$39-$B$77-$B$38)*C22/100)</f>
        <v>244.19047619047618</v>
      </c>
      <c r="C36" s="168">
        <f>IF(ISERROR(B36/SUM($B$32,$B$34,$B$35,$B$36,$B$38,$B$39)*100),0,B36/SUM($B$32,$B$34,$B$35,$B$36,$B$38,$B$39)*100)</f>
        <v>2.9374530998493462</v>
      </c>
      <c r="D36" s="234"/>
      <c r="G36" s="15"/>
    </row>
    <row r="37" spans="1:7">
      <c r="A37" s="172" t="s">
        <v>76</v>
      </c>
      <c r="B37" s="34" t="s">
        <v>111</v>
      </c>
      <c r="C37" s="168"/>
      <c r="D37" s="174"/>
      <c r="G37" s="15"/>
    </row>
    <row r="38" spans="1:7">
      <c r="A38" s="172" t="s">
        <v>77</v>
      </c>
      <c r="B38" s="33">
        <f>IF((B24-(B29-B18)*0.1)&lt;0,0,B24-(B29-B18)*0.1)</f>
        <v>64.099999999999994</v>
      </c>
      <c r="C38" s="168">
        <f>IF(ISERROR(B38/SUM($B$32,$B$34,$B$35,$B$36,$B$38,$B$39)*100),0,B38/SUM($B$32,$B$34,$B$35,$B$36,$B$38,$B$39)*100)</f>
        <v>0.77108143871045343</v>
      </c>
      <c r="D38" s="235"/>
      <c r="G38" s="15"/>
    </row>
    <row r="39" spans="1:7">
      <c r="A39" s="172" t="s">
        <v>78</v>
      </c>
      <c r="B39" s="33">
        <f>IF((B25-(B29-B18))&lt;0,0,B25-(B29-B18)*0.9)</f>
        <v>1476.9</v>
      </c>
      <c r="C39" s="168">
        <f>IF(ISERROR(B39/SUM($B$32,$B$34,$B$35,$B$36,$B$38,$B$39)*100),0,B39/SUM($B$32,$B$34,$B$35,$B$36,$B$38,$B$39)*100)</f>
        <v>17.766149404547097</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4208</v>
      </c>
      <c r="C44" s="34" t="s">
        <v>111</v>
      </c>
      <c r="D44" s="175"/>
    </row>
    <row r="45" spans="1:7">
      <c r="A45" s="172" t="s">
        <v>72</v>
      </c>
      <c r="B45" s="33" t="str">
        <f t="shared" si="0"/>
        <v>-</v>
      </c>
      <c r="C45" s="34" t="s">
        <v>111</v>
      </c>
      <c r="D45" s="175"/>
    </row>
    <row r="46" spans="1:7">
      <c r="A46" s="172" t="s">
        <v>73</v>
      </c>
      <c r="B46" s="33">
        <f t="shared" si="0"/>
        <v>206.62271062271063</v>
      </c>
      <c r="C46" s="34" t="s">
        <v>111</v>
      </c>
      <c r="D46" s="175"/>
    </row>
    <row r="47" spans="1:7">
      <c r="A47" s="172" t="s">
        <v>74</v>
      </c>
      <c r="B47" s="33">
        <f t="shared" si="0"/>
        <v>2113.1868131868132</v>
      </c>
      <c r="C47" s="34" t="s">
        <v>111</v>
      </c>
      <c r="D47" s="175"/>
    </row>
    <row r="48" spans="1:7">
      <c r="A48" s="172" t="s">
        <v>75</v>
      </c>
      <c r="B48" s="33">
        <f t="shared" si="0"/>
        <v>244.19047619047618</v>
      </c>
      <c r="C48" s="33">
        <f>B48*10</f>
        <v>2441.9047619047619</v>
      </c>
      <c r="D48" s="235"/>
    </row>
    <row r="49" spans="1:6">
      <c r="A49" s="172" t="s">
        <v>76</v>
      </c>
      <c r="B49" s="33" t="str">
        <f t="shared" si="0"/>
        <v>-</v>
      </c>
      <c r="C49" s="34" t="s">
        <v>111</v>
      </c>
      <c r="D49" s="235"/>
    </row>
    <row r="50" spans="1:6">
      <c r="A50" s="172" t="s">
        <v>77</v>
      </c>
      <c r="B50" s="33">
        <f t="shared" si="0"/>
        <v>64.099999999999994</v>
      </c>
      <c r="C50" s="33">
        <f>B50*2</f>
        <v>128.19999999999999</v>
      </c>
      <c r="D50" s="235"/>
    </row>
    <row r="51" spans="1:6">
      <c r="A51" s="172" t="s">
        <v>78</v>
      </c>
      <c r="B51" s="33">
        <f t="shared" si="0"/>
        <v>1476.9</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122</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16</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30384.11544908139</v>
      </c>
      <c r="C5" s="17">
        <f>IF(ISERROR('Eigen informatie GS &amp; warmtenet'!B58),0,'Eigen informatie GS &amp; warmtenet'!B58)</f>
        <v>0</v>
      </c>
      <c r="D5" s="30">
        <f>SUM(D6:D12)</f>
        <v>26586.292648872535</v>
      </c>
      <c r="E5" s="17">
        <f>SUM(E6:E12)</f>
        <v>591.82067668007892</v>
      </c>
      <c r="F5" s="17">
        <f>SUM(F6:F12)</f>
        <v>5247.5628907578748</v>
      </c>
      <c r="G5" s="18"/>
      <c r="H5" s="17"/>
      <c r="I5" s="17"/>
      <c r="J5" s="17">
        <f>SUM(J6:J12)</f>
        <v>0</v>
      </c>
      <c r="K5" s="17"/>
      <c r="L5" s="17"/>
      <c r="M5" s="17"/>
      <c r="N5" s="17">
        <f>SUM(N6:N12)</f>
        <v>644.67183923393975</v>
      </c>
      <c r="O5" s="17">
        <f>B38*B39*B40</f>
        <v>1.5633333333333335</v>
      </c>
      <c r="P5" s="17">
        <f>B46*B47*B48/1000-B46*B47*B48/1000/B49</f>
        <v>19.066666666666666</v>
      </c>
      <c r="R5" s="32"/>
    </row>
    <row r="6" spans="1:18">
      <c r="A6" s="32" t="s">
        <v>54</v>
      </c>
      <c r="B6" s="37">
        <f>B26</f>
        <v>9217.1660387002194</v>
      </c>
      <c r="C6" s="33"/>
      <c r="D6" s="37">
        <f>IF(ISERROR(TER_kantoor_gas_kWh/1000),0,TER_kantoor_gas_kWh/1000)*0.902</f>
        <v>6301.5665418321923</v>
      </c>
      <c r="E6" s="33">
        <f>$C$26*'E Balans VL '!I12/100/3.6*1000000</f>
        <v>322.63706935039892</v>
      </c>
      <c r="F6" s="33">
        <f>$C$26*('E Balans VL '!L12+'E Balans VL '!N12)/100/3.6*1000000</f>
        <v>1397.520262082654</v>
      </c>
      <c r="G6" s="34"/>
      <c r="H6" s="33"/>
      <c r="I6" s="33"/>
      <c r="J6" s="33">
        <f>$C$26*('E Balans VL '!D12+'E Balans VL '!E12)/100/3.6*1000000</f>
        <v>0</v>
      </c>
      <c r="K6" s="33"/>
      <c r="L6" s="33"/>
      <c r="M6" s="33"/>
      <c r="N6" s="33">
        <f>$C$26*'E Balans VL '!Y12/100/3.6*1000000</f>
        <v>71.245808585578416</v>
      </c>
      <c r="O6" s="33"/>
      <c r="P6" s="33"/>
      <c r="R6" s="32"/>
    </row>
    <row r="7" spans="1:18">
      <c r="A7" s="32" t="s">
        <v>53</v>
      </c>
      <c r="B7" s="37">
        <f t="shared" ref="B7:B12" si="0">B27</f>
        <v>2370.7019960800599</v>
      </c>
      <c r="C7" s="33"/>
      <c r="D7" s="37">
        <f>IF(ISERROR(TER_horeca_gas_kWh/1000),0,TER_horeca_gas_kWh/1000)*0.902</f>
        <v>3107.36884556004</v>
      </c>
      <c r="E7" s="33">
        <f>$C$27*'E Balans VL '!I9/100/3.6*1000000</f>
        <v>133.73911523839482</v>
      </c>
      <c r="F7" s="33">
        <f>$C$27*('E Balans VL '!L9+'E Balans VL '!N9)/100/3.6*1000000</f>
        <v>412.98940735044079</v>
      </c>
      <c r="G7" s="34"/>
      <c r="H7" s="33"/>
      <c r="I7" s="33"/>
      <c r="J7" s="33">
        <f>$C$27*('E Balans VL '!D9+'E Balans VL '!E9)/100/3.6*1000000</f>
        <v>0</v>
      </c>
      <c r="K7" s="33"/>
      <c r="L7" s="33"/>
      <c r="M7" s="33"/>
      <c r="N7" s="33">
        <f>$C$27*'E Balans VL '!Y9/100/3.6*1000000</f>
        <v>0</v>
      </c>
      <c r="O7" s="33"/>
      <c r="P7" s="33"/>
      <c r="R7" s="32"/>
    </row>
    <row r="8" spans="1:18">
      <c r="A8" s="6" t="s">
        <v>52</v>
      </c>
      <c r="B8" s="37">
        <f t="shared" si="0"/>
        <v>12414.255105050299</v>
      </c>
      <c r="C8" s="33"/>
      <c r="D8" s="37">
        <f>IF(ISERROR(TER_handel_gas_kWh/1000),0,TER_handel_gas_kWh/1000)*0.902</f>
        <v>6782.9518110972067</v>
      </c>
      <c r="E8" s="33">
        <f>$C$28*'E Balans VL '!I13/100/3.6*1000000</f>
        <v>63.733524439302229</v>
      </c>
      <c r="F8" s="33">
        <f>$C$28*('E Balans VL '!L13+'E Balans VL '!N13)/100/3.6*1000000</f>
        <v>1914.0863172662071</v>
      </c>
      <c r="G8" s="34"/>
      <c r="H8" s="33"/>
      <c r="I8" s="33"/>
      <c r="J8" s="33">
        <f>$C$28*('E Balans VL '!D13+'E Balans VL '!E13)/100/3.6*1000000</f>
        <v>0</v>
      </c>
      <c r="K8" s="33"/>
      <c r="L8" s="33"/>
      <c r="M8" s="33"/>
      <c r="N8" s="33">
        <f>$C$28*'E Balans VL '!Y13/100/3.6*1000000</f>
        <v>5.8062986490129473</v>
      </c>
      <c r="O8" s="33"/>
      <c r="P8" s="33"/>
      <c r="R8" s="32"/>
    </row>
    <row r="9" spans="1:18">
      <c r="A9" s="32" t="s">
        <v>51</v>
      </c>
      <c r="B9" s="37">
        <f t="shared" si="0"/>
        <v>1493.2602843781299</v>
      </c>
      <c r="C9" s="33"/>
      <c r="D9" s="37">
        <f>IF(ISERROR(TER_gezond_gas_kWh/1000),0,TER_gezond_gas_kWh/1000)*0.902</f>
        <v>3021.8354379584916</v>
      </c>
      <c r="E9" s="33">
        <f>$C$29*'E Balans VL '!I10/100/3.6*1000000</f>
        <v>0.61894575325613177</v>
      </c>
      <c r="F9" s="33">
        <f>$C$29*('E Balans VL '!L10+'E Balans VL '!N10)/100/3.6*1000000</f>
        <v>367.76859183309313</v>
      </c>
      <c r="G9" s="34"/>
      <c r="H9" s="33"/>
      <c r="I9" s="33"/>
      <c r="J9" s="33">
        <f>$C$29*('E Balans VL '!D10+'E Balans VL '!E10)/100/3.6*1000000</f>
        <v>0</v>
      </c>
      <c r="K9" s="33"/>
      <c r="L9" s="33"/>
      <c r="M9" s="33"/>
      <c r="N9" s="33">
        <f>$C$29*'E Balans VL '!Y10/100/3.6*1000000</f>
        <v>12.905464863064388</v>
      </c>
      <c r="O9" s="33"/>
      <c r="P9" s="33"/>
      <c r="R9" s="32"/>
    </row>
    <row r="10" spans="1:18">
      <c r="A10" s="32" t="s">
        <v>50</v>
      </c>
      <c r="B10" s="37">
        <f t="shared" si="0"/>
        <v>2070.4986408332602</v>
      </c>
      <c r="C10" s="33"/>
      <c r="D10" s="37">
        <f>IF(ISERROR(TER_ander_gas_kWh/1000),0,TER_ander_gas_kWh/1000)*0.902</f>
        <v>1520.7427314284478</v>
      </c>
      <c r="E10" s="33">
        <f>$C$30*'E Balans VL '!I14/100/3.6*1000000</f>
        <v>12.621810799306093</v>
      </c>
      <c r="F10" s="33">
        <f>$C$30*('E Balans VL '!L14+'E Balans VL '!N14)/100/3.6*1000000</f>
        <v>548.9175522989658</v>
      </c>
      <c r="G10" s="34"/>
      <c r="H10" s="33"/>
      <c r="I10" s="33"/>
      <c r="J10" s="33">
        <f>$C$30*('E Balans VL '!D14+'E Balans VL '!E14)/100/3.6*1000000</f>
        <v>0</v>
      </c>
      <c r="K10" s="33"/>
      <c r="L10" s="33"/>
      <c r="M10" s="33"/>
      <c r="N10" s="33">
        <f>$C$30*'E Balans VL '!Y14/100/3.6*1000000</f>
        <v>477.20519652950429</v>
      </c>
      <c r="O10" s="33"/>
      <c r="P10" s="33"/>
      <c r="R10" s="32"/>
    </row>
    <row r="11" spans="1:18">
      <c r="A11" s="32" t="s">
        <v>55</v>
      </c>
      <c r="B11" s="37">
        <f t="shared" si="0"/>
        <v>95.363375235189096</v>
      </c>
      <c r="C11" s="33"/>
      <c r="D11" s="37">
        <f>IF(ISERROR(TER_onderwijs_gas_kWh/1000),0,TER_onderwijs_gas_kWh/1000)*0.902</f>
        <v>439.90310388439559</v>
      </c>
      <c r="E11" s="33">
        <f>$C$31*'E Balans VL '!I11/100/3.6*1000000</f>
        <v>7.2671857552621094E-2</v>
      </c>
      <c r="F11" s="33">
        <f>$C$31*('E Balans VL '!L11+'E Balans VL '!N11)/100/3.6*1000000</f>
        <v>69.010164450593649</v>
      </c>
      <c r="G11" s="34"/>
      <c r="H11" s="33"/>
      <c r="I11" s="33"/>
      <c r="J11" s="33">
        <f>$C$31*('E Balans VL '!D11+'E Balans VL '!E11)/100/3.6*1000000</f>
        <v>0</v>
      </c>
      <c r="K11" s="33"/>
      <c r="L11" s="33"/>
      <c r="M11" s="33"/>
      <c r="N11" s="33">
        <f>$C$31*'E Balans VL '!Y11/100/3.6*1000000</f>
        <v>0.28105865824947879</v>
      </c>
      <c r="O11" s="33"/>
      <c r="P11" s="33"/>
      <c r="R11" s="32"/>
    </row>
    <row r="12" spans="1:18">
      <c r="A12" s="32" t="s">
        <v>261</v>
      </c>
      <c r="B12" s="37">
        <f t="shared" si="0"/>
        <v>2722.8700088042301</v>
      </c>
      <c r="C12" s="33"/>
      <c r="D12" s="37">
        <f>IF(ISERROR(TER_rest_gas_kWh/1000),0,TER_rest_gas_kWh/1000)*0.902</f>
        <v>5411.9241771117577</v>
      </c>
      <c r="E12" s="33">
        <f>$C$32*'E Balans VL '!I8/100/3.6*1000000</f>
        <v>58.397539241867982</v>
      </c>
      <c r="F12" s="33">
        <f>$C$32*('E Balans VL '!L8+'E Balans VL '!N8)/100/3.6*1000000</f>
        <v>537.27059547592069</v>
      </c>
      <c r="G12" s="34"/>
      <c r="H12" s="33"/>
      <c r="I12" s="33"/>
      <c r="J12" s="33">
        <f>$C$32*('E Balans VL '!D8+'E Balans VL '!E8)/100/3.6*1000000</f>
        <v>0</v>
      </c>
      <c r="K12" s="33"/>
      <c r="L12" s="33"/>
      <c r="M12" s="33"/>
      <c r="N12" s="33">
        <f>$C$32*'E Balans VL '!Y8/100/3.6*1000000</f>
        <v>77.228011948530252</v>
      </c>
      <c r="O12" s="33"/>
      <c r="P12" s="33"/>
      <c r="R12" s="32"/>
    </row>
    <row r="13" spans="1:18">
      <c r="A13" s="16" t="s">
        <v>497</v>
      </c>
      <c r="B13" s="248">
        <f ca="1">'lokale energieproductie'!N90+'lokale energieproductie'!N59</f>
        <v>78.75</v>
      </c>
      <c r="C13" s="248">
        <f ca="1">'lokale energieproductie'!O90+'lokale energieproductie'!O59</f>
        <v>112.5</v>
      </c>
      <c r="D13" s="311">
        <f ca="1">('lokale energieproductie'!P59+'lokale energieproductie'!P90)*(-1)</f>
        <v>-225.00000000000003</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30462.86544908139</v>
      </c>
      <c r="C16" s="21">
        <f ca="1">C5+C13+C14</f>
        <v>112.5</v>
      </c>
      <c r="D16" s="21">
        <f t="shared" ref="D16:N16" ca="1" si="1">MAX((D5+D13+D14),0)</f>
        <v>26361.292648872535</v>
      </c>
      <c r="E16" s="21">
        <f t="shared" si="1"/>
        <v>591.82067668007892</v>
      </c>
      <c r="F16" s="21">
        <f t="shared" ca="1" si="1"/>
        <v>5247.5628907578748</v>
      </c>
      <c r="G16" s="21">
        <f t="shared" si="1"/>
        <v>0</v>
      </c>
      <c r="H16" s="21">
        <f t="shared" si="1"/>
        <v>0</v>
      </c>
      <c r="I16" s="21">
        <f t="shared" si="1"/>
        <v>0</v>
      </c>
      <c r="J16" s="21">
        <f t="shared" si="1"/>
        <v>0</v>
      </c>
      <c r="K16" s="21">
        <f t="shared" si="1"/>
        <v>0</v>
      </c>
      <c r="L16" s="21">
        <f t="shared" ca="1" si="1"/>
        <v>0</v>
      </c>
      <c r="M16" s="21">
        <f t="shared" si="1"/>
        <v>0</v>
      </c>
      <c r="N16" s="21">
        <f t="shared" ca="1" si="1"/>
        <v>644.67183923393975</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0.21517131011820731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6554.734668633514</v>
      </c>
      <c r="C20" s="23">
        <f t="shared" ref="C20:P20" ca="1" si="2">C16*C18</f>
        <v>26.735294117647065</v>
      </c>
      <c r="D20" s="23">
        <f t="shared" ca="1" si="2"/>
        <v>5324.9811150722526</v>
      </c>
      <c r="E20" s="23">
        <f t="shared" si="2"/>
        <v>134.34329360637793</v>
      </c>
      <c r="F20" s="23">
        <f t="shared" ca="1" si="2"/>
        <v>1401.0992918323527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9217.1660387002194</v>
      </c>
      <c r="C26" s="39">
        <f>IF(ISERROR(B26*3.6/1000000/'E Balans VL '!Z12*100),0,B26*3.6/1000000/'E Balans VL '!Z12*100)</f>
        <v>0.1939599737651489</v>
      </c>
      <c r="D26" s="238" t="s">
        <v>720</v>
      </c>
      <c r="F26" s="6"/>
    </row>
    <row r="27" spans="1:18">
      <c r="A27" s="232" t="s">
        <v>53</v>
      </c>
      <c r="B27" s="33">
        <f>IF(ISERROR(TER_horeca_ele_kWh/1000),0,TER_horeca_ele_kWh/1000)</f>
        <v>2370.7019960800599</v>
      </c>
      <c r="C27" s="39">
        <f>IF(ISERROR(B27*3.6/1000000/'E Balans VL '!Z9*100),0,B27*3.6/1000000/'E Balans VL '!Z9*100)</f>
        <v>0.20072067639718033</v>
      </c>
      <c r="D27" s="238" t="s">
        <v>720</v>
      </c>
      <c r="F27" s="6"/>
    </row>
    <row r="28" spans="1:18">
      <c r="A28" s="172" t="s">
        <v>52</v>
      </c>
      <c r="B28" s="33">
        <f>IF(ISERROR(TER_handel_ele_kWh/1000),0,TER_handel_ele_kWh/1000)</f>
        <v>12414.255105050299</v>
      </c>
      <c r="C28" s="39">
        <f>IF(ISERROR(B28*3.6/1000000/'E Balans VL '!Z13*100),0,B28*3.6/1000000/'E Balans VL '!Z13*100)</f>
        <v>0.34368693595196842</v>
      </c>
      <c r="D28" s="238" t="s">
        <v>720</v>
      </c>
      <c r="F28" s="6"/>
    </row>
    <row r="29" spans="1:18">
      <c r="A29" s="232" t="s">
        <v>51</v>
      </c>
      <c r="B29" s="33">
        <f>IF(ISERROR(TER_gezond_ele_kWh/1000),0,TER_gezond_ele_kWh/1000)</f>
        <v>1493.2602843781299</v>
      </c>
      <c r="C29" s="39">
        <f>IF(ISERROR(B29*3.6/1000000/'E Balans VL '!Z10*100),0,B29*3.6/1000000/'E Balans VL '!Z10*100)</f>
        <v>0.19410728224879434</v>
      </c>
      <c r="D29" s="238" t="s">
        <v>720</v>
      </c>
      <c r="F29" s="6"/>
    </row>
    <row r="30" spans="1:18">
      <c r="A30" s="232" t="s">
        <v>50</v>
      </c>
      <c r="B30" s="33">
        <f>IF(ISERROR(TER_ander_ele_kWh/1000),0,TER_ander_ele_kWh/1000)</f>
        <v>2070.4986408332602</v>
      </c>
      <c r="C30" s="39">
        <f>IF(ISERROR(B30*3.6/1000000/'E Balans VL '!Z14*100),0,B30*3.6/1000000/'E Balans VL '!Z14*100)</f>
        <v>0.16048263258762091</v>
      </c>
      <c r="D30" s="238" t="s">
        <v>720</v>
      </c>
      <c r="F30" s="6"/>
    </row>
    <row r="31" spans="1:18">
      <c r="A31" s="232" t="s">
        <v>55</v>
      </c>
      <c r="B31" s="33">
        <f>IF(ISERROR(TER_onderwijs_ele_kWh/1000),0,TER_onderwijs_ele_kWh/1000)</f>
        <v>95.363375235189096</v>
      </c>
      <c r="C31" s="39">
        <f>IF(ISERROR(B31*3.6/1000000/'E Balans VL '!Z11*100),0,B31*3.6/1000000/'E Balans VL '!Z11*100)</f>
        <v>1.8244638640018098E-2</v>
      </c>
      <c r="D31" s="238" t="s">
        <v>720</v>
      </c>
    </row>
    <row r="32" spans="1:18">
      <c r="A32" s="232" t="s">
        <v>261</v>
      </c>
      <c r="B32" s="33">
        <f>IF(ISERROR(TER_rest_ele_kWh/1000),0,TER_rest_ele_kWh/1000)</f>
        <v>2722.8700088042301</v>
      </c>
      <c r="C32" s="39">
        <f>IF(ISERROR(B32*3.6/1000000/'E Balans VL '!Z8*100),0,B32*3.6/1000000/'E Balans VL '!Z8*100)</f>
        <v>2.2452154156847325E-2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7569.7005953203243</v>
      </c>
      <c r="C5" s="17">
        <f>IF(ISERROR('Eigen informatie GS &amp; warmtenet'!B59),0,'Eigen informatie GS &amp; warmtenet'!B59)</f>
        <v>0</v>
      </c>
      <c r="D5" s="30">
        <f>SUM(D6:D15)</f>
        <v>20591.749182773186</v>
      </c>
      <c r="E5" s="17">
        <f>SUM(E6:E15)</f>
        <v>100.76291020064411</v>
      </c>
      <c r="F5" s="17">
        <f>SUM(F6:F15)</f>
        <v>3707.3540807588233</v>
      </c>
      <c r="G5" s="18"/>
      <c r="H5" s="17"/>
      <c r="I5" s="17"/>
      <c r="J5" s="17">
        <f>SUM(J6:J15)</f>
        <v>24.313610604529302</v>
      </c>
      <c r="K5" s="17"/>
      <c r="L5" s="17"/>
      <c r="M5" s="17"/>
      <c r="N5" s="17">
        <f>SUM(N6:N15)</f>
        <v>344.7139563334128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238.101814107031</v>
      </c>
      <c r="C8" s="33"/>
      <c r="D8" s="37">
        <f>IF( ISERROR(IND_metaal_Gas_kWH/1000),0,IND_metaal_Gas_kWH/1000)*0.902</f>
        <v>75.747066016041458</v>
      </c>
      <c r="E8" s="33">
        <f>C30*'E Balans VL '!I18/100/3.6*1000000</f>
        <v>1.6730889129478155</v>
      </c>
      <c r="F8" s="33">
        <f>C30*'E Balans VL '!L18/100/3.6*1000000+C30*'E Balans VL '!N18/100/3.6*1000000</f>
        <v>26.142186156225304</v>
      </c>
      <c r="G8" s="34"/>
      <c r="H8" s="33"/>
      <c r="I8" s="33"/>
      <c r="J8" s="40">
        <f>C30*'E Balans VL '!D18/100/3.6*1000000+C30*'E Balans VL '!E18/100/3.6*1000000</f>
        <v>4.9125536277191717</v>
      </c>
      <c r="K8" s="33"/>
      <c r="L8" s="33"/>
      <c r="M8" s="33"/>
      <c r="N8" s="33">
        <f>C30*'E Balans VL '!Y18/100/3.6*1000000</f>
        <v>0.89242274734741101</v>
      </c>
      <c r="O8" s="33"/>
      <c r="P8" s="33"/>
      <c r="R8" s="32"/>
    </row>
    <row r="9" spans="1:18">
      <c r="A9" s="6" t="s">
        <v>33</v>
      </c>
      <c r="B9" s="37">
        <f t="shared" si="0"/>
        <v>3889.7908967949902</v>
      </c>
      <c r="C9" s="33"/>
      <c r="D9" s="37">
        <f>IF( ISERROR(IND_andere_gas_kWh/1000),0,IND_andere_gas_kWh/1000)*0.902</f>
        <v>840.11137931818018</v>
      </c>
      <c r="E9" s="33">
        <f>C31*'E Balans VL '!I19/100/3.6*1000000</f>
        <v>65.333803257663078</v>
      </c>
      <c r="F9" s="33">
        <f>C31*'E Balans VL '!L19/100/3.6*1000000+C31*'E Balans VL '!N19/100/3.6*1000000</f>
        <v>3040.816977167141</v>
      </c>
      <c r="G9" s="34"/>
      <c r="H9" s="33"/>
      <c r="I9" s="33"/>
      <c r="J9" s="40">
        <f>C31*'E Balans VL '!D19/100/3.6*1000000+C31*'E Balans VL '!E19/100/3.6*1000000</f>
        <v>0.35082480220942835</v>
      </c>
      <c r="K9" s="33"/>
      <c r="L9" s="33"/>
      <c r="M9" s="33"/>
      <c r="N9" s="33">
        <f>C31*'E Balans VL '!Y19/100/3.6*1000000</f>
        <v>288.29591165337644</v>
      </c>
      <c r="O9" s="33"/>
      <c r="P9" s="33"/>
      <c r="R9" s="32"/>
    </row>
    <row r="10" spans="1:18">
      <c r="A10" s="6" t="s">
        <v>41</v>
      </c>
      <c r="B10" s="37">
        <f t="shared" si="0"/>
        <v>1273.26017947225</v>
      </c>
      <c r="C10" s="33"/>
      <c r="D10" s="37">
        <f>IF( ISERROR(IND_voed_gas_kWh/1000),0,IND_voed_gas_kWh/1000)*0.902</f>
        <v>425.86090872186924</v>
      </c>
      <c r="E10" s="33">
        <f>C32*'E Balans VL '!I20/100/3.6*1000000</f>
        <v>11.616696774262669</v>
      </c>
      <c r="F10" s="33">
        <f>C32*'E Balans VL '!L20/100/3.6*1000000+C32*'E Balans VL '!N20/100/3.6*1000000</f>
        <v>205.41669219663322</v>
      </c>
      <c r="G10" s="34"/>
      <c r="H10" s="33"/>
      <c r="I10" s="33"/>
      <c r="J10" s="40">
        <f>C32*'E Balans VL '!D20/100/3.6*1000000+C32*'E Balans VL '!E20/100/3.6*1000000</f>
        <v>5.2441202088484546</v>
      </c>
      <c r="K10" s="33"/>
      <c r="L10" s="33"/>
      <c r="M10" s="33"/>
      <c r="N10" s="33">
        <f>C32*'E Balans VL '!Y20/100/3.6*1000000</f>
        <v>18.626792431849346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118.140788936863</v>
      </c>
      <c r="C13" s="33"/>
      <c r="D13" s="37">
        <f>IF( ISERROR(IND_papier_gas_kWh/1000),0,IND_papier_gas_kWh/1000)*0.902</f>
        <v>200.43556807276269</v>
      </c>
      <c r="E13" s="33">
        <f>C35*'E Balans VL '!I23/100/3.6*1000000</f>
        <v>3.6348837555879001</v>
      </c>
      <c r="F13" s="33">
        <f>C35*'E Balans VL '!L23/100/3.6*1000000+C35*'E Balans VL '!N23/100/3.6*1000000</f>
        <v>25.085418267931377</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2050.4069160091899</v>
      </c>
      <c r="C15" s="33"/>
      <c r="D15" s="37">
        <f>IF( ISERROR(IND_rest_gas_kWh/1000),0,IND_rest_gas_kWh/1000)*0.902</f>
        <v>19049.594260644331</v>
      </c>
      <c r="E15" s="33">
        <f>C37*'E Balans VL '!I15/100/3.6*1000000</f>
        <v>18.504437500182668</v>
      </c>
      <c r="F15" s="33">
        <f>C37*'E Balans VL '!L15/100/3.6*1000000+C37*'E Balans VL '!N15/100/3.6*1000000</f>
        <v>409.89280697089271</v>
      </c>
      <c r="G15" s="34"/>
      <c r="H15" s="33"/>
      <c r="I15" s="33"/>
      <c r="J15" s="40">
        <f>C37*'E Balans VL '!D15/100/3.6*1000000+C37*'E Balans VL '!E15/100/3.6*1000000</f>
        <v>13.806111965752246</v>
      </c>
      <c r="K15" s="33"/>
      <c r="L15" s="33"/>
      <c r="M15" s="33"/>
      <c r="N15" s="33">
        <f>C37*'E Balans VL '!Y15/100/3.6*1000000</f>
        <v>36.898829500839533</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7569.7005953203243</v>
      </c>
      <c r="C18" s="21">
        <f>C5+C16</f>
        <v>0</v>
      </c>
      <c r="D18" s="21">
        <f>MAX((D5+D16),0)</f>
        <v>20591.749182773186</v>
      </c>
      <c r="E18" s="21">
        <f>MAX((E5+E16),0)</f>
        <v>100.76291020064411</v>
      </c>
      <c r="F18" s="21">
        <f>MAX((F5+F16),0)</f>
        <v>3707.3540807588233</v>
      </c>
      <c r="G18" s="21"/>
      <c r="H18" s="21"/>
      <c r="I18" s="21"/>
      <c r="J18" s="21">
        <f>MAX((J5+J16),0)</f>
        <v>24.313610604529302</v>
      </c>
      <c r="K18" s="21"/>
      <c r="L18" s="21">
        <f>MAX((L5+L16),0)</f>
        <v>0</v>
      </c>
      <c r="M18" s="21"/>
      <c r="N18" s="21">
        <f>MAX((N5+N16),0)</f>
        <v>344.7139563334128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0.21517131011820731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1628.7823942976479</v>
      </c>
      <c r="C22" s="23">
        <f ca="1">C18*C20</f>
        <v>0</v>
      </c>
      <c r="D22" s="23">
        <f>D18*D20</f>
        <v>4159.5333349201837</v>
      </c>
      <c r="E22" s="23">
        <f>E18*E20</f>
        <v>22.873180615546215</v>
      </c>
      <c r="F22" s="23">
        <f>F18*F20</f>
        <v>989.86353956260587</v>
      </c>
      <c r="G22" s="23"/>
      <c r="H22" s="23"/>
      <c r="I22" s="23"/>
      <c r="J22" s="23">
        <f>J18*J20</f>
        <v>8.6070181540033719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238.101814107031</v>
      </c>
      <c r="C30" s="39">
        <f>IF(ISERROR(B30*3.6/1000000/'E Balans VL '!Z18*100),0,B30*3.6/1000000/'E Balans VL '!Z18*100)</f>
        <v>1.5850583162256772E-2</v>
      </c>
      <c r="D30" s="238" t="s">
        <v>720</v>
      </c>
    </row>
    <row r="31" spans="1:18">
      <c r="A31" s="6" t="s">
        <v>33</v>
      </c>
      <c r="B31" s="37">
        <f>IF( ISERROR(IND_ander_ele_kWh/1000),0,IND_ander_ele_kWh/1000)</f>
        <v>3889.7908967949902</v>
      </c>
      <c r="C31" s="39">
        <f>IF(ISERROR(B31*3.6/1000000/'E Balans VL '!Z19*100),0,B31*3.6/1000000/'E Balans VL '!Z19*100)</f>
        <v>0.17241901542033336</v>
      </c>
      <c r="D31" s="238" t="s">
        <v>720</v>
      </c>
    </row>
    <row r="32" spans="1:18">
      <c r="A32" s="172" t="s">
        <v>41</v>
      </c>
      <c r="B32" s="37">
        <f>IF( ISERROR(IND_voed_ele_kWh/1000),0,IND_voed_ele_kWh/1000)</f>
        <v>1273.26017947225</v>
      </c>
      <c r="C32" s="39">
        <f>IF(ISERROR(B32*3.6/1000000/'E Balans VL '!Z20*100),0,B32*3.6/1000000/'E Balans VL '!Z20*100)</f>
        <v>4.2530542505100785E-2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118.140788936863</v>
      </c>
      <c r="C35" s="39">
        <f>IF(ISERROR(B35*3.6/1000000/'E Balans VL '!Z22*100),0,B35*3.6/1000000/'E Balans VL '!Z22*100)</f>
        <v>2.2977085745419269E-2</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2050.4069160091899</v>
      </c>
      <c r="C37" s="39">
        <f>IF(ISERROR(B37*3.6/1000000/'E Balans VL '!Z15*100),0,B37*3.6/1000000/'E Balans VL '!Z15*100)</f>
        <v>1.5251687056507019E-2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13144.408569487015</v>
      </c>
      <c r="C5" s="17">
        <f>'Eigen informatie GS &amp; warmtenet'!B60</f>
        <v>0</v>
      </c>
      <c r="D5" s="30">
        <f>IF(ISERROR(SUM(LB_lb_gas_kWh,LB_rest_gas_kWh,onbekend_gas_kWh)/1000),0,SUM(LB_lb_gas_kWh,LB_rest_gas_kWh,onbekend_gas_kWh)/1000)*0.902</f>
        <v>58340.326022696907</v>
      </c>
      <c r="E5" s="17">
        <f>B17*'E Balans VL '!I25/3.6*1000000/100</f>
        <v>137.65109218807845</v>
      </c>
      <c r="F5" s="17">
        <f>B17*('E Balans VL '!L25/3.6*1000000+'E Balans VL '!N25/3.6*1000000)/100</f>
        <v>67511.775321711539</v>
      </c>
      <c r="G5" s="18"/>
      <c r="H5" s="17"/>
      <c r="I5" s="17"/>
      <c r="J5" s="17">
        <f>('E Balans VL '!D25+'E Balans VL '!E25)/3.6*1000000*landbouw!B17/100</f>
        <v>1173.9135005990884</v>
      </c>
      <c r="K5" s="17"/>
      <c r="L5" s="17">
        <f>L6*(-1)</f>
        <v>0</v>
      </c>
      <c r="M5" s="17"/>
      <c r="N5" s="17">
        <f>N6*(-1)</f>
        <v>0</v>
      </c>
      <c r="O5" s="17"/>
      <c r="P5" s="17"/>
      <c r="R5" s="32"/>
    </row>
    <row r="6" spans="1:18">
      <c r="A6" s="16" t="s">
        <v>497</v>
      </c>
      <c r="B6" s="17" t="s">
        <v>212</v>
      </c>
      <c r="C6" s="17">
        <f>'lokale energieproductie'!O91+'lokale energieproductie'!O60</f>
        <v>6467.1428571428569</v>
      </c>
      <c r="D6" s="311">
        <f>('lokale energieproductie'!P60+'lokale energieproductie'!P91)*(-1)</f>
        <v>-12934.285714285716</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13144.408569487015</v>
      </c>
      <c r="C8" s="21">
        <f>C5+C6</f>
        <v>6467.1428571428569</v>
      </c>
      <c r="D8" s="21">
        <f>MAX((D5+D6),0)</f>
        <v>45406.040308411189</v>
      </c>
      <c r="E8" s="21">
        <f>MAX((E5+E6),0)</f>
        <v>137.65109218807845</v>
      </c>
      <c r="F8" s="21">
        <f>MAX((F5+F6),0)</f>
        <v>67511.775321711539</v>
      </c>
      <c r="G8" s="21"/>
      <c r="H8" s="21"/>
      <c r="I8" s="21"/>
      <c r="J8" s="21">
        <f>MAX((J5+J6),0)</f>
        <v>1173.9135005990884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0.21517131011820731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2828.2996126255125</v>
      </c>
      <c r="C12" s="23">
        <f ca="1">C8*C10</f>
        <v>1536.8974789915969</v>
      </c>
      <c r="D12" s="23">
        <f>D8*D10</f>
        <v>9172.0201422990613</v>
      </c>
      <c r="E12" s="23">
        <f>E8*E10</f>
        <v>31.246797926693809</v>
      </c>
      <c r="F12" s="23">
        <f>F8*F10</f>
        <v>18025.644010896984</v>
      </c>
      <c r="G12" s="23"/>
      <c r="H12" s="23"/>
      <c r="I12" s="23"/>
      <c r="J12" s="23">
        <f>J8*J10</f>
        <v>415.56537921207723</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2.0231782128190847</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756.95316070294609</v>
      </c>
      <c r="C26" s="248">
        <f>B26*'GWP N2O_CH4'!B5</f>
        <v>15896.016374761868</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224.46957348810159</v>
      </c>
      <c r="C27" s="248">
        <f>B27*'GWP N2O_CH4'!B5</f>
        <v>4713.8610432501337</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10.613904433582787</v>
      </c>
      <c r="C28" s="248">
        <f>B28*'GWP N2O_CH4'!B4</f>
        <v>3290.3103744106638</v>
      </c>
      <c r="D28" s="50"/>
    </row>
    <row r="29" spans="1:4">
      <c r="A29" s="41" t="s">
        <v>278</v>
      </c>
      <c r="B29" s="248">
        <f>B34*'ha_N2O bodem landbouw'!B4</f>
        <v>30.095173613630553</v>
      </c>
      <c r="C29" s="248">
        <f>B29*'GWP N2O_CH4'!B4</f>
        <v>9329.5038202254709</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4.9736227005358728E-3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6.7133375173153963E-6</v>
      </c>
      <c r="C5" s="446" t="s">
        <v>212</v>
      </c>
      <c r="D5" s="431">
        <f>SUM(D6:D11)</f>
        <v>3.2454673103949285E-5</v>
      </c>
      <c r="E5" s="431">
        <f>SUM(E6:E11)</f>
        <v>3.7965582951356028E-3</v>
      </c>
      <c r="F5" s="444" t="s">
        <v>212</v>
      </c>
      <c r="G5" s="431">
        <f>SUM(G6:G11)</f>
        <v>0.83603527381709064</v>
      </c>
      <c r="H5" s="431">
        <f>SUM(H6:H11)</f>
        <v>0.1118932026289769</v>
      </c>
      <c r="I5" s="446" t="s">
        <v>212</v>
      </c>
      <c r="J5" s="446" t="s">
        <v>212</v>
      </c>
      <c r="K5" s="446" t="s">
        <v>212</v>
      </c>
      <c r="L5" s="446" t="s">
        <v>212</v>
      </c>
      <c r="M5" s="431">
        <f>SUM(M6:M11)</f>
        <v>4.1278666039059997E-2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1.7838617063434892E-6</v>
      </c>
      <c r="C6" s="432"/>
      <c r="D6" s="432">
        <f>vkm_2011_GW_PW*SUMIFS(TableVerdeelsleutelVkm[CNG],TableVerdeelsleutelVkm[Voertuigtype],"Lichte voertuigen")*SUMIFS(TableECFTransport[EnergieConsumptieFactor (PJ per km)],TableECFTransport[Index],CONCATENATE($A6,"_CNG_CNG"))</f>
        <v>7.6900204601909798E-6</v>
      </c>
      <c r="E6" s="434">
        <f>vkm_2011_GW_PW*SUMIFS(TableVerdeelsleutelVkm[LPG],TableVerdeelsleutelVkm[Voertuigtype],"Lichte voertuigen")*SUMIFS(TableECFTransport[EnergieConsumptieFactor (PJ per km)],TableECFTransport[Index],CONCATENATE($A6,"_LPG_LPG"))</f>
        <v>8.000994439076516E-4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9.8414428096751647E-2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2.5910479473705884E-2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5.4485134861857482E-3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6.78777116153476E-2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2.3274326687518238E-5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2.9321899610059549E-3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8.409279445548951E-7</v>
      </c>
      <c r="C8" s="432"/>
      <c r="D8" s="434">
        <f>vkm_2011_NGW_PW*SUMIFS(TableVerdeelsleutelVkm[CNG],TableVerdeelsleutelVkm[Voertuigtype],"Lichte voertuigen")*SUMIFS(TableECFTransport[EnergieConsumptieFactor (PJ per km)],TableECFTransport[Index],CONCATENATE($A8,"_CNG_CNG"))</f>
        <v>6.5035941571930885E-6</v>
      </c>
      <c r="E8" s="434">
        <f>vkm_2011_NGW_PW*SUMIFS(TableVerdeelsleutelVkm[LPG],TableVerdeelsleutelVkm[Voertuigtype],"Lichte voertuigen")*SUMIFS(TableECFTransport[EnergieConsumptieFactor (PJ per km)],TableECFTransport[Index],CONCATENATE($A8,"_LPG_LPG"))</f>
        <v>6.1783991552002765E-4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7.2080481058904133E-2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2.0917431290925263E-2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4.0803492551540442E-3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1.6707974108343755E-2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4.9768665503692959E-6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7.2171838160414975E-4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4.0885478664170118E-6</v>
      </c>
      <c r="C10" s="432"/>
      <c r="D10" s="434">
        <f>vkm_2011_SW_PW*SUMIFS(TableVerdeelsleutelVkm[CNG],TableVerdeelsleutelVkm[Voertuigtype],"Lichte voertuigen")*SUMIFS(TableECFTransport[EnergieConsumptieFactor (PJ per km)],TableECFTransport[Index],CONCATENATE($A10,"_CNG_CNG"))</f>
        <v>1.8261058486565221E-5</v>
      </c>
      <c r="E10" s="434">
        <f>vkm_2011_SW_PW*SUMIFS(TableVerdeelsleutelVkm[LPG],TableVerdeelsleutelVkm[Voertuigtype],"Lichte voertuigen")*SUMIFS(TableECFTransport[EnergieConsumptieFactor (PJ per km)],TableECFTransport[Index],CONCATENATE($A10,"_LPG_LPG"))</f>
        <v>2.3786189357079233E-3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0.26897756036126863</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6.4922905219199439E-2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1.4618736586370206E-2</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0.31197711857647481</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1.1413545190842025E-4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1.3477158368739894E-2</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1.8648159770320545</v>
      </c>
      <c r="C14" s="21"/>
      <c r="D14" s="21">
        <f t="shared" ref="D14:M14" si="0">((D5)*10^9/3600)+D12</f>
        <v>9.0151869733192456</v>
      </c>
      <c r="E14" s="21">
        <f t="shared" si="0"/>
        <v>1054.5995264265564</v>
      </c>
      <c r="F14" s="21"/>
      <c r="G14" s="21">
        <f t="shared" si="0"/>
        <v>232232.0205047474</v>
      </c>
      <c r="H14" s="21">
        <f t="shared" si="0"/>
        <v>31081.445174715805</v>
      </c>
      <c r="I14" s="21"/>
      <c r="J14" s="21"/>
      <c r="K14" s="21"/>
      <c r="L14" s="21"/>
      <c r="M14" s="21">
        <f t="shared" si="0"/>
        <v>11466.29612196111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0.21517131011820731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0.40125489690735194</v>
      </c>
      <c r="C18" s="23"/>
      <c r="D18" s="23">
        <f t="shared" ref="D18:M18" si="1">D14*D16</f>
        <v>1.8210677686104877</v>
      </c>
      <c r="E18" s="23">
        <f t="shared" si="1"/>
        <v>239.39409249882831</v>
      </c>
      <c r="F18" s="23"/>
      <c r="G18" s="23">
        <f t="shared" si="1"/>
        <v>62005.949474767556</v>
      </c>
      <c r="H18" s="23">
        <f t="shared" si="1"/>
        <v>7739.2798485042358</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8.9992102277582624E-3</v>
      </c>
      <c r="H50" s="322">
        <f t="shared" si="2"/>
        <v>0</v>
      </c>
      <c r="I50" s="322">
        <f t="shared" si="2"/>
        <v>0</v>
      </c>
      <c r="J50" s="322">
        <f t="shared" si="2"/>
        <v>0</v>
      </c>
      <c r="K50" s="322">
        <f t="shared" si="2"/>
        <v>0</v>
      </c>
      <c r="L50" s="322">
        <f t="shared" si="2"/>
        <v>0</v>
      </c>
      <c r="M50" s="322">
        <f t="shared" si="2"/>
        <v>3.8359723515138053E-4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8.9992102277582624E-3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3.8359723515138053E-4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2499.7806188217396</v>
      </c>
      <c r="H54" s="21">
        <f t="shared" si="3"/>
        <v>0</v>
      </c>
      <c r="I54" s="21">
        <f t="shared" si="3"/>
        <v>0</v>
      </c>
      <c r="J54" s="21">
        <f t="shared" si="3"/>
        <v>0</v>
      </c>
      <c r="K54" s="21">
        <f t="shared" si="3"/>
        <v>0</v>
      </c>
      <c r="L54" s="21">
        <f t="shared" si="3"/>
        <v>0</v>
      </c>
      <c r="M54" s="21">
        <f t="shared" si="3"/>
        <v>106.55478754205015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0.21517131011820731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667.44142522540449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2878.4464867894417</v>
      </c>
      <c r="C6" s="1124"/>
      <c r="D6" s="1127"/>
      <c r="E6" s="1127"/>
      <c r="F6" s="1130"/>
      <c r="G6" s="1133"/>
      <c r="H6" s="1121"/>
      <c r="I6" s="1127"/>
      <c r="J6" s="1127"/>
      <c r="K6" s="1127"/>
      <c r="L6" s="1157"/>
      <c r="M6" s="559"/>
      <c r="N6" s="1169"/>
      <c r="O6" s="1170"/>
      <c r="Q6" s="557"/>
      <c r="R6" s="1154"/>
      <c r="S6" s="1154"/>
    </row>
    <row r="7" spans="1:19" s="547" customFormat="1">
      <c r="A7" s="560" t="s">
        <v>253</v>
      </c>
      <c r="B7" s="561">
        <f>N57</f>
        <v>4605.75</v>
      </c>
      <c r="C7" s="562">
        <f>B100</f>
        <v>5418.5294117647072</v>
      </c>
      <c r="D7" s="563"/>
      <c r="E7" s="563">
        <f>E100</f>
        <v>0</v>
      </c>
      <c r="F7" s="564"/>
      <c r="G7" s="565"/>
      <c r="H7" s="563">
        <f>I100</f>
        <v>0</v>
      </c>
      <c r="I7" s="563">
        <f>G100+F100</f>
        <v>0</v>
      </c>
      <c r="J7" s="563">
        <f>H100+D100+C100</f>
        <v>0</v>
      </c>
      <c r="K7" s="563"/>
      <c r="L7" s="566"/>
      <c r="M7" s="567">
        <f>C7*$C$11+D7*$D$11+E7*$E$11+F7*$F$11+G7*$G$11+H7*$H$11+I7*$I$11+J7*$J$11</f>
        <v>1094.542941176471</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7484.1964867894421</v>
      </c>
      <c r="C9" s="578">
        <f t="shared" ref="C9:L9" si="0">SUM(C7:C8)</f>
        <v>5418.5294117647072</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1094.542941176471</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6579.6428571428569</v>
      </c>
      <c r="C16" s="594">
        <f>B101</f>
        <v>7740.7563025210093</v>
      </c>
      <c r="D16" s="595"/>
      <c r="E16" s="595">
        <f>E101</f>
        <v>0</v>
      </c>
      <c r="F16" s="596"/>
      <c r="G16" s="597"/>
      <c r="H16" s="594">
        <f>I101</f>
        <v>0</v>
      </c>
      <c r="I16" s="595">
        <f>G101+F101</f>
        <v>0</v>
      </c>
      <c r="J16" s="595">
        <f>H101+D101+C101</f>
        <v>0</v>
      </c>
      <c r="K16" s="595"/>
      <c r="L16" s="598"/>
      <c r="M16" s="599">
        <f>C16*$C$21+E16*$E$21+H16*$H$21+I16*$I$21+J16*$J$21+D16*$D$21+F16*$F$21+G16*$G$21+K16*$K$21+L16*$L$21</f>
        <v>1563.632773109244</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6579.6428571428569</v>
      </c>
      <c r="C19" s="577">
        <f>SUM(C16:C18)</f>
        <v>7740.7563025210093</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1563.632773109244</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63.75">
      <c r="A27" s="608"/>
      <c r="B27" s="839">
        <v>44034</v>
      </c>
      <c r="C27" s="839">
        <v>9080</v>
      </c>
      <c r="D27" s="656" t="s">
        <v>894</v>
      </c>
      <c r="E27" s="655" t="s">
        <v>895</v>
      </c>
      <c r="F27" s="655" t="s">
        <v>896</v>
      </c>
      <c r="G27" s="655" t="s">
        <v>897</v>
      </c>
      <c r="H27" s="655" t="s">
        <v>898</v>
      </c>
      <c r="I27" s="655" t="s">
        <v>895</v>
      </c>
      <c r="J27" s="838">
        <v>40598</v>
      </c>
      <c r="K27" s="838">
        <v>40664</v>
      </c>
      <c r="L27" s="655" t="s">
        <v>899</v>
      </c>
      <c r="M27" s="655">
        <v>30</v>
      </c>
      <c r="N27" s="655">
        <v>78.75</v>
      </c>
      <c r="O27" s="655">
        <v>112.5</v>
      </c>
      <c r="P27" s="655">
        <v>225.00000000000003</v>
      </c>
      <c r="Q27" s="655">
        <v>0</v>
      </c>
      <c r="R27" s="655">
        <v>0</v>
      </c>
      <c r="S27" s="655">
        <v>0</v>
      </c>
      <c r="T27" s="655">
        <v>0</v>
      </c>
      <c r="U27" s="655">
        <v>0</v>
      </c>
      <c r="V27" s="655">
        <v>0</v>
      </c>
      <c r="W27" s="655">
        <v>0</v>
      </c>
      <c r="X27" s="655">
        <v>1600</v>
      </c>
      <c r="Y27" s="655" t="s">
        <v>50</v>
      </c>
      <c r="Z27" s="657" t="s">
        <v>156</v>
      </c>
    </row>
    <row r="28" spans="1:26" s="609" customFormat="1" ht="25.5">
      <c r="A28" s="608"/>
      <c r="B28" s="839">
        <v>44034</v>
      </c>
      <c r="C28" s="839">
        <v>9080</v>
      </c>
      <c r="D28" s="656" t="s">
        <v>900</v>
      </c>
      <c r="E28" s="655" t="s">
        <v>901</v>
      </c>
      <c r="F28" s="655" t="s">
        <v>902</v>
      </c>
      <c r="G28" s="655" t="s">
        <v>897</v>
      </c>
      <c r="H28" s="655" t="s">
        <v>898</v>
      </c>
      <c r="I28" s="655" t="s">
        <v>903</v>
      </c>
      <c r="J28" s="838">
        <v>40473</v>
      </c>
      <c r="K28" s="838">
        <v>40513</v>
      </c>
      <c r="L28" s="655" t="s">
        <v>899</v>
      </c>
      <c r="M28" s="655">
        <v>1006</v>
      </c>
      <c r="N28" s="655">
        <v>4527</v>
      </c>
      <c r="O28" s="655">
        <v>6467.1428571428569</v>
      </c>
      <c r="P28" s="655">
        <v>12934.285714285716</v>
      </c>
      <c r="Q28" s="655">
        <v>0</v>
      </c>
      <c r="R28" s="655">
        <v>0</v>
      </c>
      <c r="S28" s="655">
        <v>0</v>
      </c>
      <c r="T28" s="655">
        <v>0</v>
      </c>
      <c r="U28" s="655">
        <v>0</v>
      </c>
      <c r="V28" s="655">
        <v>0</v>
      </c>
      <c r="W28" s="655">
        <v>0</v>
      </c>
      <c r="X28" s="655">
        <v>10</v>
      </c>
      <c r="Y28" s="655" t="s">
        <v>112</v>
      </c>
      <c r="Z28" s="657" t="s">
        <v>112</v>
      </c>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1036</v>
      </c>
      <c r="N57" s="613">
        <f>SUM(N27:N56)</f>
        <v>4605.75</v>
      </c>
      <c r="O57" s="613">
        <f t="shared" ref="O57:W57" si="2">SUM(O27:O56)</f>
        <v>6579.6428571428569</v>
      </c>
      <c r="P57" s="613">
        <f t="shared" si="2"/>
        <v>13159.285714285716</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30</v>
      </c>
      <c r="N59" s="613">
        <f ca="1">SUMIF($Z$27:AB56,"tertiair",N27:N56)</f>
        <v>78.75</v>
      </c>
      <c r="O59" s="613">
        <f ca="1">SUMIF($Z$27:AC56,"tertiair",O27:O56)</f>
        <v>112.5</v>
      </c>
      <c r="P59" s="613">
        <f ca="1">SUMIF($Z$27:AD56,"tertiair",P27:P56)</f>
        <v>225.00000000000003</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1006</v>
      </c>
      <c r="N60" s="618">
        <f t="shared" ref="N60:W60" si="4">SUMIF($Z$27:$Z$56,"landbouw",N27:N56)</f>
        <v>4527</v>
      </c>
      <c r="O60" s="618">
        <f t="shared" si="4"/>
        <v>6467.1428571428569</v>
      </c>
      <c r="P60" s="618">
        <f t="shared" si="4"/>
        <v>12934.285714285716</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0.41176470588235298</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5418.5294117647072</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7740.7563025210093</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2018-06-27T09:02:31Z</dcterms:modified>
</cp:coreProperties>
</file>