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H68"/>
  <c r="H69" s="1"/>
  <c r="D8" i="17"/>
  <c r="E22" i="14" s="1"/>
  <c r="C97" i="18"/>
  <c r="I100" s="1"/>
  <c r="H7" s="1"/>
  <c r="I67" i="14" s="1"/>
  <c r="F16" i="16"/>
  <c r="D13" i="15"/>
  <c r="O80"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E19" i="18"/>
  <c r="I19"/>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D12" i="17" l="1"/>
  <c r="E48" i="14" s="1"/>
  <c r="I69"/>
  <c r="J12" i="17"/>
  <c r="K48" i="14" s="1"/>
  <c r="F12" i="17"/>
  <c r="G48" i="14" s="1"/>
  <c r="F100" i="18"/>
  <c r="N8" i="17"/>
  <c r="N5"/>
  <c r="L8"/>
  <c r="L7" i="48" s="1"/>
  <c r="L24" s="1"/>
  <c r="L5" i="17"/>
  <c r="C78" i="14"/>
  <c r="J81"/>
  <c r="L29" i="48"/>
  <c r="G31" i="20"/>
  <c r="H43" i="14" s="1"/>
  <c r="E100" i="18"/>
  <c r="E7" s="1"/>
  <c r="H100"/>
  <c r="F7" i="48"/>
  <c r="F24" s="1"/>
  <c r="L30"/>
  <c r="B100" i="18"/>
  <c r="C7" s="1"/>
  <c r="B35" i="13"/>
  <c r="B47" s="1"/>
  <c r="J41" i="14"/>
  <c r="J53" s="1"/>
  <c r="G13" i="48"/>
  <c r="G30" s="1"/>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Q13" l="1"/>
  <c r="D8"/>
  <c r="D25" s="1"/>
  <c r="D31" s="1"/>
  <c r="D67" i="14"/>
  <c r="C9" i="18"/>
  <c r="F67" i="14"/>
  <c r="F69" s="1"/>
  <c r="E9" i="18"/>
  <c r="O22" i="14"/>
  <c r="N7" i="48"/>
  <c r="N24" s="1"/>
  <c r="N12" i="17"/>
  <c r="O48" i="14" s="1"/>
  <c r="C81"/>
  <c r="E13"/>
  <c r="E15" s="1"/>
  <c r="E23" s="1"/>
  <c r="L12" i="17"/>
  <c r="M48" i="14" s="1"/>
  <c r="C14" i="48"/>
  <c r="R22" i="14"/>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D69" i="14" l="1"/>
  <c r="O67"/>
  <c r="D14" i="48"/>
  <c r="M18" i="22"/>
  <c r="N45" i="14" s="1"/>
  <c r="N46" s="1"/>
  <c r="N53" s="1"/>
  <c r="M9" i="48"/>
  <c r="E5"/>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N22" i="16" l="1"/>
  <c r="O39" i="14" s="1"/>
  <c r="O41" s="1"/>
  <c r="O53" s="1"/>
  <c r="O13"/>
  <c r="O15" s="1"/>
  <c r="F13"/>
  <c r="F15" s="1"/>
  <c r="F23" s="1"/>
  <c r="F55"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<sst xmlns="http://schemas.openxmlformats.org/spreadsheetml/2006/main" count="2038" uniqueCount="900">
  <si>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</si>
  <si>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</si>
  <si>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</si>
  <si>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</si>
  <si>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</si>
  <si>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</si>
  <si>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</si>
  <si>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</si>
  <si>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</si>
  <si>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</si>
  <si>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</si>
  <si>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</si>
  <si>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</si>
  <si>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</si>
  <si>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</si>
  <si>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</si>
  <si>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</si>
  <si>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</si>
  <si>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</si>
  <si>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</si>
  <si>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</si>
  <si>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</si>
  <si>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</si>
  <si>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</si>
  <si>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</si>
  <si>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</si>
  <si>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</si>
  <si>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</si>
  <si>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</si>
  <si>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</si>
  <si>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</si>
  <si>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</si>
  <si>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</si>
  <si>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</si>
  <si>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</si>
  <si>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</si>
  <si>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</si>
  <si>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</si>
  <si>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</si>
  <si>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</si>
  <si>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</si>
  <si>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</si>
  <si>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</si>
  <si>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</si>
  <si>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</si>
  <si>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</si>
  <si>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</si>
  <si>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</si>
  <si>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</si>
  <si>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</si>
  <si>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</si>
  <si>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</si>
  <si>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</si>
  <si>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</si>
  <si>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</si>
  <si>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</si>
  <si>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</si>
  <si>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</si>
  <si>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</si>
  <si>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</si>
  <si>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</si>
  <si>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</si>
  <si>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</si>
  <si>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</si>
  <si>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</si>
  <si>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</si>
  <si>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</si>
  <si>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</si>
  <si>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</si>
  <si>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</si>
  <si>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</si>
  <si>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</si>
  <si>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</si>
  <si>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</si>
  <si>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</si>
  <si>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</si>
  <si>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</si>
  <si>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</si>
  <si>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</si>
  <si>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</si>
  <si>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</si>
  <si>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</si>
  <si>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</si>
  <si>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</si>
  <si>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</si>
  <si>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</si>
  <si>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</si>
  <si>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</si>
  <si>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</si>
  <si>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</si>
  <si>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</si>
  <si>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</si>
  <si>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</si>
  <si>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</si>
  <si>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</si>
  <si>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</si>
  <si>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</si>
  <si>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</si>
  <si>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</si>
  <si>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</si>
  <si>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</si>
  <si>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</si>
  <si>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</si>
  <si>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</si>
  <si>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</si>
  <si>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</si>
  <si>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</si>
  <si>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</si>
  <si>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</si>
  <si>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</si>
  <si>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</si>
  <si>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</si>
  <si>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</si>
  <si>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</si>
  <si>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</si>
  <si>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</si>
  <si>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</si>
  <si>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</si>
  <si>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</si>
  <si>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</si>
  <si>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</si>
  <si>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</si>
  <si>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</si>
  <si>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</si>
  <si>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</si>
  <si>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</si>
  <si>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</si>
  <si>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</si>
  <si>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</si>
  <si>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</si>
  <si>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</si>
  <si>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</si>
  <si>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</si>
  <si>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</si>
  <si>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</si>
  <si>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</si>
  <si>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</si>
  <si>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</si>
  <si>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</si>
  <si>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</si>
  <si>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</si>
  <si>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</si>
  <si>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</si>
  <si>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</si>
  <si>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</si>
  <si>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</si>
  <si>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</si>
  <si>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</si>
  <si>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</si>
  <si>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</si>
  <si>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</si>
  <si>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</si>
  <si>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</si>
  <si>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</si>
  <si>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</si>
  <si>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</si>
  <si>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</si>
  <si>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</si>
  <si>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</si>
  <si>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</si>
  <si>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</si>
  <si>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</si>
  <si>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</si>
  <si>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</si>
  <si>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</si>
  <si>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</si>
  <si>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</si>
  <si>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</si>
  <si>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</si>
  <si>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</si>
  <si>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</si>
  <si>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</si>
  <si>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</si>
  <si>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</si>
  <si>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</si>
  <si>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</si>
  <si>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</si>
  <si>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</si>
  <si>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</si>
  <si>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</si>
  <si>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</si>
  <si>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</si>
  <si>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</si>
  <si>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</si>
  <si>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</si>
  <si>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</si>
  <si>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</si>
  <si>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</si>
  <si>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</si>
  <si>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</si>
  <si>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</si>
  <si>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</si>
  <si>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</si>
  <si>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</si>
  <si>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</si>
  <si>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</si>
  <si>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</si>
  <si>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</si>
  <si>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</si>
  <si>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</si>
  <si>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</si>
  <si>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</si>
  <si>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</si>
  <si>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</si>
  <si>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</si>
  <si>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</si>
  <si>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</si>
  <si>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</si>
  <si>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</si>
  <si>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</si>
  <si>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</si>
  <si>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</si>
  <si>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</si>
  <si>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</si>
  <si>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</si>
  <si>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</si>
  <si>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</si>
  <si>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</si>
  <si>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</si>
  <si>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</si>
  <si>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</si>
  <si>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</si>
  <si>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</si>
  <si>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</si>
  <si>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</si>
  <si>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</si>
  <si>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</si>
  <si>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</si>
  <si>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</si>
  <si>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</si>
  <si>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</si>
  <si>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</si>
  <si>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</si>
  <si>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</si>
  <si>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</si>
  <si>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</si>
  <si>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</si>
  <si>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</si>
  <si>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</si>
  <si>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</si>
  <si>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</si>
  <si>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</si>
  <si>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</si>
  <si>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</si>
  <si>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</si>
  <si>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</si>
  <si>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</si>
  <si>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</si>
  <si>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</si>
  <si>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</si>
  <si>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</si>
  <si>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</si>
  <si>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</si>
  <si>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</si>
  <si>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</si>
  <si>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</si>
  <si>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</si>
  <si>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</si>
  <si>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</si>
  <si>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</si>
  <si>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</si>
  <si>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</si>
  <si>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</si>
  <si>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</si>
  <si>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</si>
  <si>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</si>
  <si>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</si>
  <si>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</si>
  <si>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</si>
  <si>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</si>
  <si>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</si>
  <si>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</si>
  <si>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</si>
  <si>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</si>
  <si>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</si>
  <si>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</si>
  <si>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</si>
  <si>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</si>
  <si>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</si>
  <si>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</si>
  <si>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</si>
  <si>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</si>
  <si>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</si>
  <si>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</si>
  <si>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</si>
  <si>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</si>
  <si>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</si>
  <si>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</si>
  <si>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</si>
  <si>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</si>
  <si>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</si>
  <si>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</si>
  <si>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</si>
  <si>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</si>
  <si>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</si>
  <si>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</si>
  <si>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</si>
  <si>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</si>
  <si>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</si>
  <si>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</si>
  <si>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</si>
  <si>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</si>
  <si>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</si>
  <si>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</si>
  <si>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</si>
  <si>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</si>
  <si>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</si>
  <si>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</si>
  <si>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</si>
  <si>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</si>
  <si>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</si>
  <si>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</si>
  <si>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</si>
  <si>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</si>
  <si>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</si>
  <si>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</si>
  <si>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</si>
  <si>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</si>
  <si>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</si>
  <si>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</si>
  <si>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</si>
  <si>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</si>
  <si>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</si>
  <si>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</si>
  <si>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</si>
  <si>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</si>
  <si>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</si>
  <si>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</si>
  <si>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</si>
  <si>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</si>
  <si>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</si>
  <si>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</si>
  <si>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</si>
  <si>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</si>
  <si>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</si>
  <si>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</si>
  <si>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</si>
  <si>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</si>
  <si>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</si>
  <si>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</si>
  <si>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</si>
  <si>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</si>
  <si>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</si>
  <si>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</si>
  <si>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</si>
  <si>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</si>
  <si>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</si>
  <si>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</si>
  <si>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</si>
  <si>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</si>
  <si>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</si>
  <si>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</si>
  <si>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</si>
  <si>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</si>
  <si>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</si>
  <si>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</si>
  <si>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</si>
  <si>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</si>
  <si>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</si>
  <si>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</si>
  <si>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</si>
  <si>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</si>
  <si>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</si>
  <si>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</si>
  <si>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</si>
  <si>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</si>
  <si>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</si>
  <si>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</si>
  <si>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</si>
  <si>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</si>
  <si>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</si>
  <si>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</si>
  <si>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</si>
  <si>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</si>
  <si>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</si>
  <si>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</si>
  <si>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</si>
  <si>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</si>
  <si>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</si>
  <si>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</si>
  <si>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</si>
  <si>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</si>
  <si>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</si>
  <si>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</si>
  <si>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</si>
  <si>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</si>
  <si>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</si>
  <si>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</si>
  <si>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</si>
  <si>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</si>
  <si>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</si>
  <si>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</si>
  <si>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</si>
  <si>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</si>
  <si>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</si>
  <si>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</si>
  <si>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</si>
  <si>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</si>
  <si>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</si>
  <si>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</si>
  <si>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</si>
  <si>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</si>
  <si>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</si>
  <si>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</si>
  <si>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</si>
  <si>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</si>
  <si>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</si>
  <si>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</si>
  <si>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</si>
  <si>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</si>
  <si>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</si>
  <si>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</si>
  <si>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</si>
  <si>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</si>
  <si>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</si>
  <si>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</si>
  <si>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</si>
  <si>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</si>
  <si>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</si>
  <si>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</si>
  <si>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</si>
  <si>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</si>
  <si>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</si>
  <si>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</si>
  <si>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</si>
  <si>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</si>
  <si>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</si>
  <si>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</si>
  <si>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</si>
  <si>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</si>
  <si>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</si>
  <si>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</si>
  <si>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</si>
  <si>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</si>
  <si>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</si>
  <si>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</si>
  <si>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</si>
  <si>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</si>
  <si>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</si>
  <si>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</si>
  <si>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</si>
  <si>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</si>
  <si>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</si>
  <si>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</si>
  <si>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</si>
  <si>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</si>
  <si>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</si>
  <si>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</si>
  <si>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</si>
  <si>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</si>
  <si>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</si>
  <si>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</si>
  <si>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</si>
  <si>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</si>
  <si>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</si>
  <si>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</si>
  <si>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</si>
  <si>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</si>
  <si>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</si>
  <si>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</si>
  <si>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</si>
  <si>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</si>
  <si>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</si>
  <si>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</si>
  <si>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</si>
  <si>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</si>
  <si>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</si>
  <si>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</si>
  <si>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</si>
  <si>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</si>
  <si>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</si>
  <si>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</si>
  <si>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</si>
  <si>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</si>
  <si>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</si>
  <si>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</si>
  <si>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</si>
  <si>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</si>
  <si>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</si>
  <si>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</si>
  <si>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</si>
  <si>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</si>
  <si>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</si>
  <si>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</si>
  <si>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</si>
  <si>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</si>
  <si>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</si>
  <si>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</si>
  <si>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</si>
  <si>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</si>
  <si>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</si>
  <si>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</si>
  <si>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</si>
  <si>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</si>
  <si>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</si>
  <si>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</si>
  <si>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</si>
  <si>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</si>
  <si>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</si>
  <si>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</si>
  <si>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</si>
  <si>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</si>
  <si>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</si>
  <si>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</si>
  <si>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</si>
  <si>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</si>
  <si>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</si>
  <si>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</si>
  <si>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</si>
  <si>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</si>
  <si>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</si>
  <si>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</si>
  <si>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</si>
  <si>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</si>
  <si>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</si>
  <si>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</si>
  <si>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</si>
  <si>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</si>
  <si>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</si>
  <si>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</si>
  <si>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</si>
  <si>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</si>
  <si>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</si>
  <si>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</si>
  <si>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</si>
  <si>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</si>
  <si>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</si>
  <si>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</si>
  <si>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</si>
  <si>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</si>
  <si>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</si>
  <si>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</si>
  <si>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</si>
  <si>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</si>
  <si>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</si>
  <si>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</si>
  <si>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</si>
  <si>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</si>
  <si>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</si>
  <si>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</si>
  <si>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</si>
  <si>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</si>
  <si>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</si>
  <si>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</si>
  <si>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</si>
  <si>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</si>
  <si>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</si>
  <si>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</si>
  <si>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</si>
  <si>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</si>
  <si>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</si>
  <si>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</si>
  <si>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</si>
  <si>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</si>
  <si>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</si>
  <si>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</si>
  <si>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</si>
  <si>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</si>
  <si>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</si>
  <si>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</si>
  <si>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</si>
  <si>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</si>
  <si>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</si>
  <si>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</si>
  <si>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</si>
  <si>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</si>
  <si>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</si>
  <si>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</si>
  <si>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</si>
  <si>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</si>
  <si>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</si>
  <si>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</si>
  <si>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</si>
  <si>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</si>
  <si>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</si>
  <si>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</si>
  <si>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</si>
  <si>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</si>
  <si>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</si>
  <si>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</si>
  <si>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</si>
  <si>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</si>
  <si>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</si>
  <si>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</si>
  <si>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</si>
  <si>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</si>
  <si>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</si>
  <si>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</si>
  <si>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</si>
  <si>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</si>
  <si>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</si>
  <si>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</si>
  <si>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</si>
  <si>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</si>
  <si>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</si>
  <si>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</si>
  <si>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</si>
  <si>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</si>
  <si>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</si>
  <si>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</si>
  <si>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</si>
  <si>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</si>
  <si>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</si>
  <si>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</si>
  <si>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</si>
  <si>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</si>
  <si>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</si>
  <si>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</si>
  <si>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</si>
  <si>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</si>
  <si>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</si>
  <si>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</si>
  <si>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</si>
  <si>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</si>
  <si>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</si>
  <si>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</si>
  <si>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</si>
  <si>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</si>
  <si>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</si>
  <si>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</si>
  <si>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</si>
  <si>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</si>
  <si>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</si>
  <si>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</si>
  <si>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</si>
  <si>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</si>
  <si>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</si>
  <si>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</si>
  <si>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</si>
  <si>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</si>
  <si>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</si>
  <si>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</si>
  <si>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</si>
  <si>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</si>
  <si>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</si>
  <si>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</si>
  <si>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</si>
  <si>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</si>
  <si>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</si>
  <si>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</si>
  <si>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</si>
  <si>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</si>
  <si>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</si>
  <si>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</si>
  <si>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</si>
  <si>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</si>
  <si>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</si>
  <si>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</si>
  <si>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</si>
  <si>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</si>
  <si>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</si>
  <si>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</si>
  <si>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</si>
  <si>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</si>
  <si>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</si>
  <si>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</si>
  <si>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</si>
  <si>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</si>
  <si>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</si>
  <si>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</si>
  <si>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</si>
  <si>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</si>
  <si>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</si>
  <si>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</si>
  <si>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</si>
  <si>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</si>
  <si>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</si>
  <si>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</si>
  <si>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</si>
  <si>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</si>
  <si>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</si>
  <si>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</si>
  <si>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</si>
  <si>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</si>
  <si>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</si>
  <si>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</si>
  <si>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</si>
  <si>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</si>
  <si>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</si>
  <si>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</si>
  <si>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</si>
  <si>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</si>
  <si>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</si>
  <si>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</si>
  <si>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</si>
  <si>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</si>
  <si>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</si>
  <si>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</si>
  <si>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</si>
  <si>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</si>
  <si>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</si>
  <si>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</si>
  <si>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</si>
  <si>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</si>
  <si>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</si>
  <si>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</si>
  <si>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</si>
  <si>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</si>
  <si>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</si>
  <si>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</si>
  <si>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</si>
  <si>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</si>
  <si>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</si>
  <si>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</si>
  <si>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</si>
  <si>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</si>
  <si>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</si>
  <si>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</si>
  <si>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</si>
  <si>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</si>
  <si>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</si>
  <si>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</si>
  <si>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</si>
  <si>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</si>
  <si>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</si>
  <si>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</si>
  <si>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</si>
  <si>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</si>
  <si>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</si>
  <si>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</si>
  <si>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</si>
  <si>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</si>
  <si>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</si>
  <si>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</si>
  <si>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</si>
  <si>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</si>
  <si>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</si>
  <si>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</si>
  <si>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</si>
  <si>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</si>
  <si>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</si>
  <si>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</si>
  <si>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</si>
  <si>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</si>
  <si>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</si>
  <si>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</si>
  <si>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</si>
  <si>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</si>
  <si>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</si>
  <si>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</si>
  <si>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</si>
  <si>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</si>
  <si>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</si>
  <si>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</si>
  <si>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</si>
  <si>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</si>
  <si>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</si>
  <si>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</si>
  <si>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</si>
  <si>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</si>
  <si>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</si>
  <si>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</si>
  <si>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</si>
  <si>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</si>
  <si>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</si>
  <si>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</si>
  <si>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</si>
  <si>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</si>
  <si>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</si>
  <si>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</si>
  <si>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</si>
  <si>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</si>
  <si>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</si>
  <si>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</si>
  <si>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</si>
  <si>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</si>
  <si>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</si>
  <si>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</si>
  <si>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</si>
  <si>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</si>
  <si>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</si>
  <si>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</si>
  <si>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</si>
  <si>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</si>
  <si>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</si>
  <si>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</si>
  <si>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</si>
  <si>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</si>
  <si>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</si>
  <si>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</si>
  <si>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</si>
  <si>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</si>
  <si>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</si>
  <si>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</si>
  <si>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</si>
  <si>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</si>
  <si>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</si>
  <si>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</si>
  <si>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</si>
  <si>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</si>
  <si>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</si>
  <si>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</si>
  <si>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</si>
  <si>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</si>
  <si>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</si>
  <si>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</si>
  <si>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</si>
  <si>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</si>
  <si>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</si>
  <si>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</si>
  <si>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</si>
  <si>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</si>
  <si>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</si>
  <si>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</si>
  <si>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</si>
  <si>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</si>
  <si>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</si>
  <si>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</si>
  <si>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</si>
  <si>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</si>
  <si>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</si>
  <si>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</si>
  <si>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</si>
  <si>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</si>
  <si>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</si>
  <si>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</si>
  <si>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</si>
  <si>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</si>
  <si>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</si>
  <si>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</si>
  <si>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</si>
  <si>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</si>
  <si>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</si>
  <si>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</si>
  <si>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</si>
  <si>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</si>
  <si>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</si>
  <si>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</si>
  <si>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</si>
  <si>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</si>
  <si>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</si>
  <si>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</si>
  <si>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</si>
  <si>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</si>
  <si>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</si>
  <si>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</si>
  <si>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</si>
  <si>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</si>
  <si>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</si>
  <si>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</si>
  <si>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</si>
  <si>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</si>
  <si>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</si>
  <si>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</si>
  <si>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</si>
  <si>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</si>
  <si>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</si>
  <si>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</si>
  <si>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</si>
  <si>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</si>
  <si>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</si>
  <si>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</si>
  <si>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</si>
  <si>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</si>
  <si>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</si>
  <si>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</si>
  <si>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</si>
  <si>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</si>
  <si>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</si>
  <si>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</si>
  <si>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</si>
  <si>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</si>
  <si>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</si>
  <si>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</si>
  <si>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</si>
  <si>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</si>
  <si>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</si>
  <si>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</si>
  <si>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</si>
  <si>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</si>
  <si>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</si>
  <si>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</si>
  <si>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</si>
  <si>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</si>
  <si>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</si>
  <si>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</si>
  <si>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</si>
  <si>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</si>
  <si>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</si>
  <si>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</si>
  <si>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</si>
  <si>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</si>
  <si>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</si>
  <si>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</si>
  <si>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</si>
  <si>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44019</t>
  </si>
  <si>
    <t>EVERGEM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</si>
  <si>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</si>
  <si>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</si>
  <si>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</si>
  <si>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</si>
  <si>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</si>
  <si>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</si>
  <si>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</si>
  <si>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E. Van Wingen nv</t>
  </si>
  <si>
    <t>Industrieterrein Durmakker 27 , 9940 Evergem</t>
  </si>
  <si>
    <t>WKK-0260 Van Wingen Evergem</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</si>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</sst>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44019</v>
      </c>
      <c r="B6" s="396"/>
      <c r="C6" s="397"/>
    </row>
    <row r="7" spans="1:7" s="394" customFormat="1" ht="15.75" customHeight="1">
      <c r="A7" s="398" t="str">
        <f>txtMunicipality</f>
        <v>EVERGEM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44019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13428</v>
      </c>
      <c r="C9" s="336">
        <v>14365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4300</v>
      </c>
    </row>
    <row r="15" spans="1:6">
      <c r="A15" s="1194" t="s">
        <v>185</v>
      </c>
      <c r="B15" s="333">
        <v>58</v>
      </c>
    </row>
    <row r="16" spans="1:6">
      <c r="A16" s="1194" t="s">
        <v>6</v>
      </c>
      <c r="B16" s="333">
        <v>2480</v>
      </c>
    </row>
    <row r="17" spans="1:6">
      <c r="A17" s="1194" t="s">
        <v>7</v>
      </c>
      <c r="B17" s="333">
        <v>1511</v>
      </c>
    </row>
    <row r="18" spans="1:6">
      <c r="A18" s="1194" t="s">
        <v>8</v>
      </c>
      <c r="B18" s="333">
        <v>2878</v>
      </c>
    </row>
    <row r="19" spans="1:6">
      <c r="A19" s="1194" t="s">
        <v>9</v>
      </c>
      <c r="B19" s="333">
        <v>2917</v>
      </c>
    </row>
    <row r="20" spans="1:6">
      <c r="A20" s="1194" t="s">
        <v>10</v>
      </c>
      <c r="B20" s="333">
        <v>1674</v>
      </c>
    </row>
    <row r="21" spans="1:6">
      <c r="A21" s="1194" t="s">
        <v>11</v>
      </c>
      <c r="B21" s="333">
        <v>11420</v>
      </c>
    </row>
    <row r="22" spans="1:6">
      <c r="A22" s="1194" t="s">
        <v>12</v>
      </c>
      <c r="B22" s="333">
        <v>23299</v>
      </c>
    </row>
    <row r="23" spans="1:6">
      <c r="A23" s="1194" t="s">
        <v>13</v>
      </c>
      <c r="B23" s="333">
        <v>591</v>
      </c>
    </row>
    <row r="24" spans="1:6">
      <c r="A24" s="1194" t="s">
        <v>14</v>
      </c>
      <c r="B24" s="333">
        <v>59</v>
      </c>
    </row>
    <row r="25" spans="1:6">
      <c r="A25" s="1194" t="s">
        <v>15</v>
      </c>
      <c r="B25" s="333">
        <v>3164</v>
      </c>
    </row>
    <row r="26" spans="1:6">
      <c r="A26" s="1194" t="s">
        <v>16</v>
      </c>
      <c r="B26" s="333">
        <v>280</v>
      </c>
    </row>
    <row r="27" spans="1:6">
      <c r="A27" s="1194" t="s">
        <v>17</v>
      </c>
      <c r="B27" s="333">
        <v>5</v>
      </c>
    </row>
    <row r="28" spans="1:6">
      <c r="A28" s="1194" t="s">
        <v>18</v>
      </c>
      <c r="B28" s="333">
        <v>79806</v>
      </c>
    </row>
    <row r="29" spans="1:6">
      <c r="A29" s="1194" t="s">
        <v>888</v>
      </c>
      <c r="B29" s="333">
        <v>314</v>
      </c>
    </row>
    <row r="30" spans="1:6">
      <c r="A30" s="1190" t="s">
        <v>889</v>
      </c>
      <c r="B30" s="1190">
        <v>73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6</v>
      </c>
      <c r="F35" s="333">
        <v>37787.075413575702</v>
      </c>
    </row>
    <row r="36" spans="1:6">
      <c r="A36" s="1194" t="s">
        <v>25</v>
      </c>
      <c r="B36" s="1194" t="s">
        <v>27</v>
      </c>
      <c r="C36" s="333">
        <v>4</v>
      </c>
      <c r="D36" s="333">
        <v>212234.05169282801</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5</v>
      </c>
      <c r="F38" s="333">
        <v>260811</v>
      </c>
    </row>
    <row r="39" spans="1:6">
      <c r="A39" s="1194" t="s">
        <v>30</v>
      </c>
      <c r="B39" s="1194" t="s">
        <v>31</v>
      </c>
      <c r="C39" s="333">
        <v>6554</v>
      </c>
      <c r="D39" s="333">
        <v>102437978.821785</v>
      </c>
      <c r="E39" s="333">
        <v>13035</v>
      </c>
      <c r="F39" s="333">
        <v>69695792.369307697</v>
      </c>
    </row>
    <row r="40" spans="1:6">
      <c r="A40" s="1194" t="s">
        <v>30</v>
      </c>
      <c r="B40" s="1194" t="s">
        <v>29</v>
      </c>
      <c r="C40" s="333">
        <v>0</v>
      </c>
      <c r="D40" s="333">
        <v>0</v>
      </c>
      <c r="E40" s="333">
        <v>0</v>
      </c>
      <c r="F40" s="333">
        <v>0</v>
      </c>
    </row>
    <row r="41" spans="1:6">
      <c r="A41" s="1194" t="s">
        <v>32</v>
      </c>
      <c r="B41" s="1194" t="s">
        <v>33</v>
      </c>
      <c r="C41" s="333">
        <v>70</v>
      </c>
      <c r="D41" s="333">
        <v>36218920.490840703</v>
      </c>
      <c r="E41" s="333">
        <v>260</v>
      </c>
      <c r="F41" s="333">
        <v>7555857.0619657598</v>
      </c>
    </row>
    <row r="42" spans="1:6">
      <c r="A42" s="1194" t="s">
        <v>32</v>
      </c>
      <c r="B42" s="1194" t="s">
        <v>34</v>
      </c>
      <c r="C42" s="333">
        <v>0</v>
      </c>
      <c r="D42" s="333">
        <v>0</v>
      </c>
      <c r="E42" s="333">
        <v>3</v>
      </c>
      <c r="F42" s="333">
        <v>36725892.962993398</v>
      </c>
    </row>
    <row r="43" spans="1:6">
      <c r="A43" s="1194" t="s">
        <v>32</v>
      </c>
      <c r="B43" s="1194" t="s">
        <v>35</v>
      </c>
      <c r="C43" s="333">
        <v>0</v>
      </c>
      <c r="D43" s="333">
        <v>0</v>
      </c>
      <c r="E43" s="333">
        <v>0</v>
      </c>
      <c r="F43" s="333">
        <v>0</v>
      </c>
    </row>
    <row r="44" spans="1:6">
      <c r="A44" s="1194" t="s">
        <v>32</v>
      </c>
      <c r="B44" s="1194" t="s">
        <v>36</v>
      </c>
      <c r="C44" s="333">
        <v>3</v>
      </c>
      <c r="D44" s="333">
        <v>63862.809997930497</v>
      </c>
      <c r="E44" s="333">
        <v>27</v>
      </c>
      <c r="F44" s="333">
        <v>373598.35177805898</v>
      </c>
    </row>
    <row r="45" spans="1:6">
      <c r="A45" s="1194" t="s">
        <v>32</v>
      </c>
      <c r="B45" s="1194" t="s">
        <v>37</v>
      </c>
      <c r="C45" s="333">
        <v>0</v>
      </c>
      <c r="D45" s="333">
        <v>0</v>
      </c>
      <c r="E45" s="333">
        <v>3</v>
      </c>
      <c r="F45" s="333">
        <v>139896.80707318801</v>
      </c>
    </row>
    <row r="46" spans="1:6">
      <c r="A46" s="1194" t="s">
        <v>32</v>
      </c>
      <c r="B46" s="1194" t="s">
        <v>38</v>
      </c>
      <c r="C46" s="333">
        <v>0</v>
      </c>
      <c r="D46" s="333">
        <v>0</v>
      </c>
      <c r="E46" s="333">
        <v>0</v>
      </c>
      <c r="F46" s="333">
        <v>0</v>
      </c>
    </row>
    <row r="47" spans="1:6">
      <c r="A47" s="1194" t="s">
        <v>32</v>
      </c>
      <c r="B47" s="1194" t="s">
        <v>39</v>
      </c>
      <c r="C47" s="333">
        <v>12</v>
      </c>
      <c r="D47" s="333">
        <v>415840.90496817598</v>
      </c>
      <c r="E47" s="333">
        <v>16</v>
      </c>
      <c r="F47" s="333">
        <v>289535.600198498</v>
      </c>
    </row>
    <row r="48" spans="1:6">
      <c r="A48" s="1194" t="s">
        <v>32</v>
      </c>
      <c r="B48" s="1194" t="s">
        <v>29</v>
      </c>
      <c r="C48" s="333">
        <v>31</v>
      </c>
      <c r="D48" s="333">
        <v>22067642.632806402</v>
      </c>
      <c r="E48" s="333">
        <v>42</v>
      </c>
      <c r="F48" s="333">
        <v>34716035.129597597</v>
      </c>
    </row>
    <row r="49" spans="1:6">
      <c r="A49" s="1194" t="s">
        <v>32</v>
      </c>
      <c r="B49" s="1194" t="s">
        <v>40</v>
      </c>
      <c r="C49" s="333">
        <v>0</v>
      </c>
      <c r="D49" s="333">
        <v>0</v>
      </c>
      <c r="E49" s="333">
        <v>0</v>
      </c>
      <c r="F49" s="333">
        <v>0</v>
      </c>
    </row>
    <row r="50" spans="1:6">
      <c r="A50" s="1194" t="s">
        <v>32</v>
      </c>
      <c r="B50" s="1194" t="s">
        <v>41</v>
      </c>
      <c r="C50" s="333">
        <v>16</v>
      </c>
      <c r="D50" s="333">
        <v>4768209.05359622</v>
      </c>
      <c r="E50" s="333">
        <v>41</v>
      </c>
      <c r="F50" s="333">
        <v>4237025.2390586799</v>
      </c>
    </row>
    <row r="51" spans="1:6">
      <c r="A51" s="1194" t="s">
        <v>42</v>
      </c>
      <c r="B51" s="1194" t="s">
        <v>43</v>
      </c>
      <c r="C51" s="333">
        <v>17</v>
      </c>
      <c r="D51" s="333">
        <v>3917071.50077452</v>
      </c>
      <c r="E51" s="333">
        <v>239</v>
      </c>
      <c r="F51" s="333">
        <v>4869457.3979766602</v>
      </c>
    </row>
    <row r="52" spans="1:6">
      <c r="A52" s="1194" t="s">
        <v>42</v>
      </c>
      <c r="B52" s="1194" t="s">
        <v>29</v>
      </c>
      <c r="C52" s="333">
        <v>7</v>
      </c>
      <c r="D52" s="333">
        <v>3315219.0880486602</v>
      </c>
      <c r="E52" s="333">
        <v>11</v>
      </c>
      <c r="F52" s="333">
        <v>462644.99138497899</v>
      </c>
    </row>
    <row r="53" spans="1:6">
      <c r="A53" s="1194" t="s">
        <v>44</v>
      </c>
      <c r="B53" s="1194" t="s">
        <v>45</v>
      </c>
      <c r="C53" s="333">
        <v>235</v>
      </c>
      <c r="D53" s="333">
        <v>4107327.3440966499</v>
      </c>
      <c r="E53" s="333">
        <v>514</v>
      </c>
      <c r="F53" s="333">
        <v>3303327.5483005699</v>
      </c>
    </row>
    <row r="54" spans="1:6">
      <c r="A54" s="1194" t="s">
        <v>46</v>
      </c>
      <c r="B54" s="1194" t="s">
        <v>47</v>
      </c>
      <c r="C54" s="333">
        <v>0</v>
      </c>
      <c r="D54" s="333">
        <v>0</v>
      </c>
      <c r="E54" s="333">
        <v>3</v>
      </c>
      <c r="F54" s="333">
        <v>2361045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40</v>
      </c>
      <c r="D57" s="333">
        <v>2592333.7945294799</v>
      </c>
      <c r="E57" s="333">
        <v>213</v>
      </c>
      <c r="F57" s="333">
        <v>6365030.1021909304</v>
      </c>
    </row>
    <row r="58" spans="1:6">
      <c r="A58" s="1194" t="s">
        <v>49</v>
      </c>
      <c r="B58" s="1194" t="s">
        <v>51</v>
      </c>
      <c r="C58" s="333">
        <v>17</v>
      </c>
      <c r="D58" s="333">
        <v>4387962.4382823696</v>
      </c>
      <c r="E58" s="333">
        <v>43</v>
      </c>
      <c r="F58" s="333">
        <v>2473320.9547488098</v>
      </c>
    </row>
    <row r="59" spans="1:6">
      <c r="A59" s="1194" t="s">
        <v>49</v>
      </c>
      <c r="B59" s="1194" t="s">
        <v>52</v>
      </c>
      <c r="C59" s="333">
        <v>103</v>
      </c>
      <c r="D59" s="333">
        <v>8457919.4245175198</v>
      </c>
      <c r="E59" s="333">
        <v>314</v>
      </c>
      <c r="F59" s="333">
        <v>11854033.3325665</v>
      </c>
    </row>
    <row r="60" spans="1:6">
      <c r="A60" s="1194" t="s">
        <v>49</v>
      </c>
      <c r="B60" s="1194" t="s">
        <v>53</v>
      </c>
      <c r="C60" s="333">
        <v>49</v>
      </c>
      <c r="D60" s="333">
        <v>2563017.9977029301</v>
      </c>
      <c r="E60" s="333">
        <v>99</v>
      </c>
      <c r="F60" s="333">
        <v>1861234.46944765</v>
      </c>
    </row>
    <row r="61" spans="1:6">
      <c r="A61" s="1194" t="s">
        <v>49</v>
      </c>
      <c r="B61" s="1194" t="s">
        <v>54</v>
      </c>
      <c r="C61" s="333">
        <v>119</v>
      </c>
      <c r="D61" s="333">
        <v>7165311.7401163802</v>
      </c>
      <c r="E61" s="333">
        <v>336</v>
      </c>
      <c r="F61" s="333">
        <v>8837829.7444270197</v>
      </c>
    </row>
    <row r="62" spans="1:6">
      <c r="A62" s="1194" t="s">
        <v>49</v>
      </c>
      <c r="B62" s="1194" t="s">
        <v>55</v>
      </c>
      <c r="C62" s="333">
        <v>13</v>
      </c>
      <c r="D62" s="333">
        <v>4984959.0404005004</v>
      </c>
      <c r="E62" s="333">
        <v>22</v>
      </c>
      <c r="F62" s="333">
        <v>871293.69987545896</v>
      </c>
    </row>
    <row r="63" spans="1:6">
      <c r="A63" s="1194" t="s">
        <v>49</v>
      </c>
      <c r="B63" s="1194" t="s">
        <v>29</v>
      </c>
      <c r="C63" s="333">
        <v>83</v>
      </c>
      <c r="D63" s="333">
        <v>20726274.780441701</v>
      </c>
      <c r="E63" s="333">
        <v>84</v>
      </c>
      <c r="F63" s="333">
        <v>6815144.4432533896</v>
      </c>
    </row>
    <row r="64" spans="1:6">
      <c r="A64" s="1194" t="s">
        <v>56</v>
      </c>
      <c r="B64" s="1194" t="s">
        <v>57</v>
      </c>
      <c r="C64" s="333">
        <v>0</v>
      </c>
      <c r="D64" s="333">
        <v>0</v>
      </c>
      <c r="E64" s="333">
        <v>0</v>
      </c>
      <c r="F64" s="333">
        <v>0</v>
      </c>
    </row>
    <row r="65" spans="1:6">
      <c r="A65" s="1194" t="s">
        <v>56</v>
      </c>
      <c r="B65" s="1194" t="s">
        <v>29</v>
      </c>
      <c r="C65" s="333">
        <v>3</v>
      </c>
      <c r="D65" s="333">
        <v>49232.355777404497</v>
      </c>
      <c r="E65" s="333">
        <v>5</v>
      </c>
      <c r="F65" s="333">
        <v>18070.251363256499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5</v>
      </c>
      <c r="D68" s="333">
        <v>182833.95487812601</v>
      </c>
      <c r="E68" s="333">
        <v>20</v>
      </c>
      <c r="F68" s="333">
        <v>921908.98228951602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121106974</v>
      </c>
      <c r="E73" s="333">
        <v>129667949.27726625</v>
      </c>
      <c r="F73" s="333">
        <v>123286534</v>
      </c>
    </row>
    <row r="74" spans="1:6">
      <c r="A74" s="1194" t="s">
        <v>64</v>
      </c>
      <c r="B74" s="1194" t="s">
        <v>775</v>
      </c>
      <c r="C74" s="1205" t="s">
        <v>776</v>
      </c>
      <c r="D74" s="333">
        <v>12864321.341234742</v>
      </c>
      <c r="E74" s="333">
        <v>13482704.783658285</v>
      </c>
      <c r="F74" s="333">
        <v>13204555.263084881</v>
      </c>
    </row>
    <row r="75" spans="1:6">
      <c r="A75" s="1194" t="s">
        <v>65</v>
      </c>
      <c r="B75" s="1194" t="s">
        <v>773</v>
      </c>
      <c r="C75" s="1205" t="s">
        <v>777</v>
      </c>
      <c r="D75" s="333">
        <v>53535066</v>
      </c>
      <c r="E75" s="333">
        <v>56001290.622625507</v>
      </c>
      <c r="F75" s="333">
        <v>54062597</v>
      </c>
    </row>
    <row r="76" spans="1:6">
      <c r="A76" s="1194" t="s">
        <v>65</v>
      </c>
      <c r="B76" s="1194" t="s">
        <v>775</v>
      </c>
      <c r="C76" s="1205" t="s">
        <v>778</v>
      </c>
      <c r="D76" s="333">
        <v>2141776.3412347417</v>
      </c>
      <c r="E76" s="333">
        <v>2241978.148002103</v>
      </c>
      <c r="F76" s="333">
        <v>2123093.263084881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858927.31753051654</v>
      </c>
      <c r="C83" s="333">
        <v>784739.82750206406</v>
      </c>
      <c r="D83" s="333">
        <v>773435.47383023764</v>
      </c>
    </row>
    <row r="84" spans="1:6">
      <c r="A84" s="1190" t="s">
        <v>338</v>
      </c>
      <c r="B84" s="336">
        <v>301554.43184849294</v>
      </c>
      <c r="C84" s="336">
        <v>313994.66016921768</v>
      </c>
      <c r="D84" s="336">
        <v>301948.02428868844</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3536.2716442984611</v>
      </c>
    </row>
    <row r="92" spans="1:6">
      <c r="A92" s="1190" t="s">
        <v>69</v>
      </c>
      <c r="B92" s="336">
        <v>743.13832627893021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2815</v>
      </c>
    </row>
    <row r="98" spans="1:6">
      <c r="A98" s="1194" t="s">
        <v>72</v>
      </c>
      <c r="B98" s="333">
        <v>1</v>
      </c>
    </row>
    <row r="99" spans="1:6">
      <c r="A99" s="1194" t="s">
        <v>73</v>
      </c>
      <c r="B99" s="333">
        <v>245</v>
      </c>
    </row>
    <row r="100" spans="1:6">
      <c r="A100" s="1194" t="s">
        <v>74</v>
      </c>
      <c r="B100" s="333">
        <v>1781</v>
      </c>
    </row>
    <row r="101" spans="1:6">
      <c r="A101" s="1194" t="s">
        <v>75</v>
      </c>
      <c r="B101" s="333">
        <v>249</v>
      </c>
    </row>
    <row r="102" spans="1:6">
      <c r="A102" s="1194" t="s">
        <v>76</v>
      </c>
      <c r="B102" s="333">
        <v>206</v>
      </c>
    </row>
    <row r="103" spans="1:6">
      <c r="A103" s="1194" t="s">
        <v>77</v>
      </c>
      <c r="B103" s="333">
        <v>399</v>
      </c>
    </row>
    <row r="104" spans="1:6">
      <c r="A104" s="1194" t="s">
        <v>78</v>
      </c>
      <c r="B104" s="333">
        <v>6177</v>
      </c>
    </row>
    <row r="105" spans="1:6">
      <c r="A105" s="1190" t="s">
        <v>79</v>
      </c>
      <c r="B105" s="1190">
        <v>16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21</v>
      </c>
      <c r="C123" s="333">
        <v>24</v>
      </c>
    </row>
    <row r="124" spans="1:6">
      <c r="A124" s="1190" t="s">
        <v>89</v>
      </c>
      <c r="B124" s="333">
        <v>2</v>
      </c>
      <c r="C124" s="333">
        <v>4</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101</v>
      </c>
    </row>
    <row r="130" spans="1:6">
      <c r="A130" s="1194" t="s">
        <v>296</v>
      </c>
      <c r="B130" s="333">
        <v>3</v>
      </c>
    </row>
    <row r="131" spans="1:6">
      <c r="A131" s="1194" t="s">
        <v>297</v>
      </c>
      <c r="B131" s="333">
        <v>4</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205162.01302140139</v>
      </c>
      <c r="C3" s="43" t="s">
        <v>171</v>
      </c>
      <c r="D3" s="43"/>
      <c r="E3" s="156"/>
      <c r="F3" s="43"/>
      <c r="G3" s="43"/>
      <c r="H3" s="43"/>
      <c r="I3" s="43"/>
      <c r="J3" s="43"/>
      <c r="K3" s="96"/>
    </row>
    <row r="4" spans="1:11">
      <c r="A4" s="364" t="s">
        <v>172</v>
      </c>
      <c r="B4" s="49">
        <f>IF(ISERROR('SEAP template'!B69),0,'SEAP template'!B69)</f>
        <v>4336.1099705773913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13.474588235294121</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0.21639483113200031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19.249411764705886</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81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2361.0450000000001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2361.0450000000001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0.21639483113200031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510.91793407005366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69695.792369307703</v>
      </c>
      <c r="C5" s="17">
        <f>IF(ISERROR('Eigen informatie GS &amp; warmtenet'!B57),0,'Eigen informatie GS &amp; warmtenet'!B57)</f>
        <v>0</v>
      </c>
      <c r="D5" s="30">
        <f>(SUM(HH_hh_gas_kWh,HH_rest_gas_kWh)/1000)*0.902</f>
        <v>92399.056897250077</v>
      </c>
      <c r="E5" s="17">
        <f>B46*B57</f>
        <v>8867.4314622889597</v>
      </c>
      <c r="F5" s="17">
        <f>B51*B62</f>
        <v>64117.241469521956</v>
      </c>
      <c r="G5" s="18"/>
      <c r="H5" s="17"/>
      <c r="I5" s="17"/>
      <c r="J5" s="17">
        <f>B50*B61+C50*C61</f>
        <v>720.0198137741977</v>
      </c>
      <c r="K5" s="17"/>
      <c r="L5" s="17"/>
      <c r="M5" s="17"/>
      <c r="N5" s="17">
        <f>B48*B59+C48*C59</f>
        <v>26075.401488699456</v>
      </c>
      <c r="O5" s="17">
        <f>B69*B70*B71</f>
        <v>201.67000000000004</v>
      </c>
      <c r="P5" s="17">
        <f>B77*B78*B79/1000-B77*B78*B79/1000/B80</f>
        <v>648.26666666666665</v>
      </c>
    </row>
    <row r="6" spans="1:16">
      <c r="A6" s="16" t="s">
        <v>633</v>
      </c>
      <c r="B6" s="830">
        <f>kWh_PV_kleiner_dan_10kW</f>
        <v>3536.2716442984611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73232.06401360617</v>
      </c>
      <c r="C8" s="21">
        <f>C5</f>
        <v>0</v>
      </c>
      <c r="D8" s="21">
        <f>D5</f>
        <v>92399.056897250077</v>
      </c>
      <c r="E8" s="21">
        <f>E5</f>
        <v>8867.4314622889597</v>
      </c>
      <c r="F8" s="21">
        <f>F5</f>
        <v>64117.241469521956</v>
      </c>
      <c r="G8" s="21"/>
      <c r="H8" s="21"/>
      <c r="I8" s="21"/>
      <c r="J8" s="21">
        <f>J5</f>
        <v>720.0198137741977</v>
      </c>
      <c r="K8" s="21"/>
      <c r="L8" s="21">
        <f>L5</f>
        <v>0</v>
      </c>
      <c r="M8" s="21">
        <f>M5</f>
        <v>0</v>
      </c>
      <c r="N8" s="21">
        <f>N5</f>
        <v>26075.401488699456</v>
      </c>
      <c r="O8" s="21">
        <f>O5</f>
        <v>201.67000000000004</v>
      </c>
      <c r="P8" s="21">
        <f>P5</f>
        <v>648.26666666666665</v>
      </c>
    </row>
    <row r="9" spans="1:16">
      <c r="B9" s="19"/>
      <c r="C9" s="19"/>
      <c r="D9" s="260"/>
      <c r="E9" s="19"/>
      <c r="F9" s="19"/>
      <c r="G9" s="19"/>
      <c r="H9" s="19"/>
      <c r="I9" s="19"/>
      <c r="J9" s="19"/>
      <c r="K9" s="19"/>
      <c r="L9" s="19"/>
      <c r="M9" s="19"/>
      <c r="N9" s="19"/>
      <c r="O9" s="19"/>
      <c r="P9" s="19"/>
    </row>
    <row r="10" spans="1:16">
      <c r="A10" s="24" t="s">
        <v>215</v>
      </c>
      <c r="B10" s="25">
        <f ca="1">'EF ele_warmte'!B12</f>
        <v>0.21639483113200031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15847.040125672143</v>
      </c>
      <c r="C12" s="23">
        <f ca="1">C10*C8</f>
        <v>0</v>
      </c>
      <c r="D12" s="23">
        <f>D8*D10</f>
        <v>18664.609493244516</v>
      </c>
      <c r="E12" s="23">
        <f>E10*E8</f>
        <v>2012.9069419395939</v>
      </c>
      <c r="F12" s="23">
        <f>F10*F8</f>
        <v>17119.303472362364</v>
      </c>
      <c r="G12" s="23"/>
      <c r="H12" s="23"/>
      <c r="I12" s="23"/>
      <c r="J12" s="23">
        <f>J10*J8</f>
        <v>254.88701407606598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2815</v>
      </c>
      <c r="C18" s="167" t="s">
        <v>111</v>
      </c>
      <c r="D18" s="229"/>
      <c r="E18" s="15"/>
    </row>
    <row r="19" spans="1:7">
      <c r="A19" s="172" t="s">
        <v>72</v>
      </c>
      <c r="B19" s="37">
        <f>aantalw2001_ander</f>
        <v>1</v>
      </c>
      <c r="C19" s="167" t="s">
        <v>111</v>
      </c>
      <c r="D19" s="230"/>
      <c r="E19" s="15"/>
    </row>
    <row r="20" spans="1:7">
      <c r="A20" s="172" t="s">
        <v>73</v>
      </c>
      <c r="B20" s="37">
        <f>aantalw2001_propaan</f>
        <v>245</v>
      </c>
      <c r="C20" s="168">
        <f>IF(ISERROR(B20/SUM($B$20,$B$21,$B$22)*100),0,B20/SUM($B$20,$B$21,$B$22)*100)</f>
        <v>10.76923076923077</v>
      </c>
      <c r="D20" s="230"/>
      <c r="E20" s="15"/>
    </row>
    <row r="21" spans="1:7">
      <c r="A21" s="172" t="s">
        <v>74</v>
      </c>
      <c r="B21" s="37">
        <f>aantalw2001_elektriciteit</f>
        <v>1781</v>
      </c>
      <c r="C21" s="168">
        <f>IF(ISERROR(B21/SUM($B$20,$B$21,$B$22)*100),0,B21/SUM($B$20,$B$21,$B$22)*100)</f>
        <v>78.285714285714278</v>
      </c>
      <c r="D21" s="230"/>
      <c r="E21" s="15"/>
    </row>
    <row r="22" spans="1:7">
      <c r="A22" s="172" t="s">
        <v>75</v>
      </c>
      <c r="B22" s="37">
        <f>aantalw2001_hout</f>
        <v>249</v>
      </c>
      <c r="C22" s="168">
        <f>IF(ISERROR(B22/SUM($B$20,$B$21,$B$22)*100),0,B22/SUM($B$20,$B$21,$B$22)*100)</f>
        <v>10.945054945054945</v>
      </c>
      <c r="D22" s="230"/>
      <c r="E22" s="15"/>
    </row>
    <row r="23" spans="1:7">
      <c r="A23" s="172" t="s">
        <v>76</v>
      </c>
      <c r="B23" s="37">
        <f>aantalw2001_niet_gespec</f>
        <v>206</v>
      </c>
      <c r="C23" s="167" t="s">
        <v>111</v>
      </c>
      <c r="D23" s="229"/>
      <c r="E23" s="15"/>
    </row>
    <row r="24" spans="1:7">
      <c r="A24" s="172" t="s">
        <v>77</v>
      </c>
      <c r="B24" s="37">
        <f>aantalw2001_steenkool</f>
        <v>399</v>
      </c>
      <c r="C24" s="167" t="s">
        <v>111</v>
      </c>
      <c r="D24" s="230"/>
      <c r="E24" s="15"/>
    </row>
    <row r="25" spans="1:7">
      <c r="A25" s="172" t="s">
        <v>78</v>
      </c>
      <c r="B25" s="37">
        <f>aantalw2001_stookolie</f>
        <v>6177</v>
      </c>
      <c r="C25" s="167" t="s">
        <v>111</v>
      </c>
      <c r="D25" s="229"/>
      <c r="E25" s="52"/>
    </row>
    <row r="26" spans="1:7">
      <c r="A26" s="172" t="s">
        <v>79</v>
      </c>
      <c r="B26" s="37">
        <f>aantalw2001_WP</f>
        <v>16</v>
      </c>
      <c r="C26" s="167" t="s">
        <v>111</v>
      </c>
      <c r="D26" s="229"/>
      <c r="E26" s="15"/>
    </row>
    <row r="27" spans="1:7" s="15" customFormat="1">
      <c r="A27" s="172"/>
      <c r="B27" s="29"/>
      <c r="C27" s="36"/>
      <c r="D27" s="229"/>
    </row>
    <row r="28" spans="1:7" s="15" customFormat="1">
      <c r="A28" s="231" t="s">
        <v>713</v>
      </c>
      <c r="B28" s="37">
        <f>aantalHuishoudens2011</f>
        <v>13428</v>
      </c>
      <c r="C28" s="36"/>
      <c r="D28" s="229"/>
    </row>
    <row r="29" spans="1:7" s="15" customFormat="1">
      <c r="A29" s="231" t="s">
        <v>714</v>
      </c>
      <c r="B29" s="37">
        <f>SUM(HH_hh_gas_aantal,HH_rest_gas_aantal)</f>
        <v>6554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6554</v>
      </c>
      <c r="C32" s="168">
        <f>IF(ISERROR(B32/SUM($B$32,$B$34,$B$35,$B$36,$B$38,$B$39)*100),0,B32/SUM($B$32,$B$34,$B$35,$B$36,$B$38,$B$39)*100)</f>
        <v>48.932357772136776</v>
      </c>
      <c r="D32" s="234"/>
      <c r="G32" s="15"/>
    </row>
    <row r="33" spans="1:7">
      <c r="A33" s="172" t="s">
        <v>72</v>
      </c>
      <c r="B33" s="34" t="s">
        <v>111</v>
      </c>
      <c r="C33" s="168"/>
      <c r="D33" s="234"/>
      <c r="G33" s="15"/>
    </row>
    <row r="34" spans="1:7">
      <c r="A34" s="172" t="s">
        <v>73</v>
      </c>
      <c r="B34" s="33">
        <f>IF((($B$28-$B$32-$B$39-$B$77-$B$38)*C20/100)&lt;0,0,($B$28-$B$32-$B$39-$B$77-$B$38)*C20/100)</f>
        <v>431.09230769230771</v>
      </c>
      <c r="C34" s="168">
        <f>IF(ISERROR(B34/SUM($B$32,$B$34,$B$35,$B$36,$B$38,$B$39)*100),0,B34/SUM($B$32,$B$34,$B$35,$B$36,$B$38,$B$39)*100)</f>
        <v>3.2185479146805114</v>
      </c>
      <c r="D34" s="234"/>
      <c r="G34" s="15"/>
    </row>
    <row r="35" spans="1:7">
      <c r="A35" s="172" t="s">
        <v>74</v>
      </c>
      <c r="B35" s="33">
        <f>IF((($B$28-$B$32-$B$39-$B$77-$B$38)*C21/100)&lt;0,0,($B$28-$B$32-$B$39-$B$77-$B$38)*C21/100)</f>
        <v>3133.7771428571427</v>
      </c>
      <c r="C35" s="168">
        <f>IF(ISERROR(B35/SUM($B$32,$B$34,$B$35,$B$36,$B$38,$B$39)*100),0,B35/SUM($B$32,$B$34,$B$35,$B$36,$B$38,$B$39)*100)</f>
        <v>23.396872800187715</v>
      </c>
      <c r="D35" s="234"/>
      <c r="G35" s="15"/>
    </row>
    <row r="36" spans="1:7">
      <c r="A36" s="172" t="s">
        <v>75</v>
      </c>
      <c r="B36" s="33">
        <f>IF((($B$28-$B$32-$B$39-$B$77-$B$38)*C22/100)&lt;0,0,($B$28-$B$32-$B$39-$B$77-$B$38)*C22/100)</f>
        <v>438.13054945054944</v>
      </c>
      <c r="C36" s="168">
        <f>IF(ISERROR(B36/SUM($B$32,$B$34,$B$35,$B$36,$B$38,$B$39)*100),0,B36/SUM($B$32,$B$34,$B$35,$B$36,$B$38,$B$39)*100)</f>
        <v>3.2710956357365197</v>
      </c>
      <c r="D36" s="234"/>
      <c r="G36" s="15"/>
    </row>
    <row r="37" spans="1:7">
      <c r="A37" s="172" t="s">
        <v>76</v>
      </c>
      <c r="B37" s="34" t="s">
        <v>111</v>
      </c>
      <c r="C37" s="168"/>
      <c r="D37" s="174"/>
      <c r="G37" s="15"/>
    </row>
    <row r="38" spans="1:7">
      <c r="A38" s="172" t="s">
        <v>77</v>
      </c>
      <c r="B38" s="33">
        <f>IF((B24-(B29-B18)*0.1)&lt;0,0,B24-(B29-B18)*0.1)</f>
        <v>25.099999999999966</v>
      </c>
      <c r="C38" s="168">
        <f>IF(ISERROR(B38/SUM($B$32,$B$34,$B$35,$B$36,$B$38,$B$39)*100),0,B38/SUM($B$32,$B$34,$B$35,$B$36,$B$38,$B$39)*100)</f>
        <v>0.18739734209347444</v>
      </c>
      <c r="D38" s="235"/>
      <c r="G38" s="15"/>
    </row>
    <row r="39" spans="1:7">
      <c r="A39" s="172" t="s">
        <v>78</v>
      </c>
      <c r="B39" s="33">
        <f>IF((B25-(B29-B18))&lt;0,0,B25-(B29-B18)*0.9)</f>
        <v>2811.9</v>
      </c>
      <c r="C39" s="168">
        <f>IF(ISERROR(B39/SUM($B$32,$B$34,$B$35,$B$36,$B$38,$B$39)*100),0,B39/SUM($B$32,$B$34,$B$35,$B$36,$B$38,$B$39)*100)</f>
        <v>20.993728535164998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6554</v>
      </c>
      <c r="C44" s="34" t="s">
        <v>111</v>
      </c>
      <c r="D44" s="175"/>
    </row>
    <row r="45" spans="1:7">
      <c r="A45" s="172" t="s">
        <v>72</v>
      </c>
      <c r="B45" s="33" t="str">
        <f t="shared" si="0"/>
        <v>-</v>
      </c>
      <c r="C45" s="34" t="s">
        <v>111</v>
      </c>
      <c r="D45" s="175"/>
    </row>
    <row r="46" spans="1:7">
      <c r="A46" s="172" t="s">
        <v>73</v>
      </c>
      <c r="B46" s="33">
        <f t="shared" si="0"/>
        <v>431.09230769230771</v>
      </c>
      <c r="C46" s="34" t="s">
        <v>111</v>
      </c>
      <c r="D46" s="175"/>
    </row>
    <row r="47" spans="1:7">
      <c r="A47" s="172" t="s">
        <v>74</v>
      </c>
      <c r="B47" s="33">
        <f t="shared" si="0"/>
        <v>3133.7771428571427</v>
      </c>
      <c r="C47" s="34" t="s">
        <v>111</v>
      </c>
      <c r="D47" s="175"/>
    </row>
    <row r="48" spans="1:7">
      <c r="A48" s="172" t="s">
        <v>75</v>
      </c>
      <c r="B48" s="33">
        <f t="shared" si="0"/>
        <v>438.13054945054944</v>
      </c>
      <c r="C48" s="33">
        <f>B48*10</f>
        <v>4381.3054945054946</v>
      </c>
      <c r="D48" s="235"/>
    </row>
    <row r="49" spans="1:6">
      <c r="A49" s="172" t="s">
        <v>76</v>
      </c>
      <c r="B49" s="33" t="str">
        <f t="shared" si="0"/>
        <v>-</v>
      </c>
      <c r="C49" s="34" t="s">
        <v>111</v>
      </c>
      <c r="D49" s="235"/>
    </row>
    <row r="50" spans="1:6">
      <c r="A50" s="172" t="s">
        <v>77</v>
      </c>
      <c r="B50" s="33">
        <f t="shared" si="0"/>
        <v>25.099999999999966</v>
      </c>
      <c r="C50" s="33">
        <f>B50*2</f>
        <v>50.199999999999932</v>
      </c>
      <c r="D50" s="235"/>
    </row>
    <row r="51" spans="1:6">
      <c r="A51" s="172" t="s">
        <v>78</v>
      </c>
      <c r="B51" s="33">
        <f t="shared" si="0"/>
        <v>2811.9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39077.886746509757</v>
      </c>
      <c r="C5" s="17">
        <f>IF(ISERROR('Eigen informatie GS &amp; warmtenet'!B58),0,'Eigen informatie GS &amp; warmtenet'!B58)</f>
        <v>0</v>
      </c>
      <c r="D5" s="30">
        <f>SUM(D6:D12)</f>
        <v>45891.756852823775</v>
      </c>
      <c r="E5" s="17">
        <f>SUM(E6:E12)</f>
        <v>661.86987642778877</v>
      </c>
      <c r="F5" s="17">
        <f>SUM(F6:F12)</f>
        <v>7763.815873863442</v>
      </c>
      <c r="G5" s="18"/>
      <c r="H5" s="17"/>
      <c r="I5" s="17"/>
      <c r="J5" s="17">
        <f>SUM(J6:J12)</f>
        <v>0</v>
      </c>
      <c r="K5" s="17"/>
      <c r="L5" s="17"/>
      <c r="M5" s="17"/>
      <c r="N5" s="17">
        <f>SUM(N6:N12)</f>
        <v>1758.0994241926833</v>
      </c>
      <c r="O5" s="17">
        <f>B38*B39*B40</f>
        <v>4.6900000000000004</v>
      </c>
      <c r="P5" s="17">
        <f>B46*B47*B48/1000-B46*B47*B48/1000/B49</f>
        <v>76.266666666666666</v>
      </c>
      <c r="R5" s="32"/>
    </row>
    <row r="6" spans="1:18">
      <c r="A6" s="32" t="s">
        <v>54</v>
      </c>
      <c r="B6" s="37">
        <f>B26</f>
        <v>8837.8297444270192</v>
      </c>
      <c r="C6" s="33"/>
      <c r="D6" s="37">
        <f>IF(ISERROR(TER_kantoor_gas_kWh/1000),0,TER_kantoor_gas_kWh/1000)*0.902</f>
        <v>6463.1111895849745</v>
      </c>
      <c r="E6" s="33">
        <f>$C$26*'E Balans VL '!I12/100/3.6*1000000</f>
        <v>309.35880683796569</v>
      </c>
      <c r="F6" s="33">
        <f>$C$26*('E Balans VL '!L12+'E Balans VL '!N12)/100/3.6*1000000</f>
        <v>1340.0047356004052</v>
      </c>
      <c r="G6" s="34"/>
      <c r="H6" s="33"/>
      <c r="I6" s="33"/>
      <c r="J6" s="33">
        <f>$C$26*('E Balans VL '!D12+'E Balans VL '!E12)/100/3.6*1000000</f>
        <v>0</v>
      </c>
      <c r="K6" s="33"/>
      <c r="L6" s="33"/>
      <c r="M6" s="33"/>
      <c r="N6" s="33">
        <f>$C$26*'E Balans VL '!Y12/100/3.6*1000000</f>
        <v>68.313657759839117</v>
      </c>
      <c r="O6" s="33"/>
      <c r="P6" s="33"/>
      <c r="R6" s="32"/>
    </row>
    <row r="7" spans="1:18">
      <c r="A7" s="32" t="s">
        <v>53</v>
      </c>
      <c r="B7" s="37">
        <f t="shared" ref="B7:B12" si="0">B27</f>
        <v>1861.2344694476501</v>
      </c>
      <c r="C7" s="33"/>
      <c r="D7" s="37">
        <f>IF(ISERROR(TER_horeca_gas_kWh/1000),0,TER_horeca_gas_kWh/1000)*0.902</f>
        <v>2311.8422339280432</v>
      </c>
      <c r="E7" s="33">
        <f>$C$27*'E Balans VL '!I9/100/3.6*1000000</f>
        <v>104.99837246803659</v>
      </c>
      <c r="F7" s="33">
        <f>$C$27*('E Balans VL '!L9+'E Balans VL '!N9)/100/3.6*1000000</f>
        <v>324.23734478158292</v>
      </c>
      <c r="G7" s="34"/>
      <c r="H7" s="33"/>
      <c r="I7" s="33"/>
      <c r="J7" s="33">
        <f>$C$27*('E Balans VL '!D9+'E Balans VL '!E9)/100/3.6*1000000</f>
        <v>0</v>
      </c>
      <c r="K7" s="33"/>
      <c r="L7" s="33"/>
      <c r="M7" s="33"/>
      <c r="N7" s="33">
        <f>$C$27*'E Balans VL '!Y9/100/3.6*1000000</f>
        <v>0</v>
      </c>
      <c r="O7" s="33"/>
      <c r="P7" s="33"/>
      <c r="R7" s="32"/>
    </row>
    <row r="8" spans="1:18">
      <c r="A8" s="6" t="s">
        <v>52</v>
      </c>
      <c r="B8" s="37">
        <f t="shared" si="0"/>
        <v>11854.0333325665</v>
      </c>
      <c r="C8" s="33"/>
      <c r="D8" s="37">
        <f>IF(ISERROR(TER_handel_gas_kWh/1000),0,TER_handel_gas_kWh/1000)*0.902</f>
        <v>7629.0433209148032</v>
      </c>
      <c r="E8" s="33">
        <f>$C$28*'E Balans VL '!I13/100/3.6*1000000</f>
        <v>60.857402777076985</v>
      </c>
      <c r="F8" s="33">
        <f>$C$28*('E Balans VL '!L13+'E Balans VL '!N13)/100/3.6*1000000</f>
        <v>1827.7087762641995</v>
      </c>
      <c r="G8" s="34"/>
      <c r="H8" s="33"/>
      <c r="I8" s="33"/>
      <c r="J8" s="33">
        <f>$C$28*('E Balans VL '!D13+'E Balans VL '!E13)/100/3.6*1000000</f>
        <v>0</v>
      </c>
      <c r="K8" s="33"/>
      <c r="L8" s="33"/>
      <c r="M8" s="33"/>
      <c r="N8" s="33">
        <f>$C$28*'E Balans VL '!Y13/100/3.6*1000000</f>
        <v>5.5442760875950627</v>
      </c>
      <c r="O8" s="33"/>
      <c r="P8" s="33"/>
      <c r="R8" s="32"/>
    </row>
    <row r="9" spans="1:18">
      <c r="A9" s="32" t="s">
        <v>51</v>
      </c>
      <c r="B9" s="37">
        <f t="shared" si="0"/>
        <v>2473.32095474881</v>
      </c>
      <c r="C9" s="33"/>
      <c r="D9" s="37">
        <f>IF(ISERROR(TER_gezond_gas_kWh/1000),0,TER_gezond_gas_kWh/1000)*0.902</f>
        <v>3957.9421193306976</v>
      </c>
      <c r="E9" s="33">
        <f>$C$29*'E Balans VL '!I10/100/3.6*1000000</f>
        <v>1.0251739213828368</v>
      </c>
      <c r="F9" s="33">
        <f>$C$29*('E Balans VL '!L10+'E Balans VL '!N10)/100/3.6*1000000</f>
        <v>609.14347900042048</v>
      </c>
      <c r="G9" s="34"/>
      <c r="H9" s="33"/>
      <c r="I9" s="33"/>
      <c r="J9" s="33">
        <f>$C$29*('E Balans VL '!D10+'E Balans VL '!E10)/100/3.6*1000000</f>
        <v>0</v>
      </c>
      <c r="K9" s="33"/>
      <c r="L9" s="33"/>
      <c r="M9" s="33"/>
      <c r="N9" s="33">
        <f>$C$29*'E Balans VL '!Y10/100/3.6*1000000</f>
        <v>21.375614827849304</v>
      </c>
      <c r="O9" s="33"/>
      <c r="P9" s="33"/>
      <c r="R9" s="32"/>
    </row>
    <row r="10" spans="1:18">
      <c r="A10" s="32" t="s">
        <v>50</v>
      </c>
      <c r="B10" s="37">
        <f t="shared" si="0"/>
        <v>6365.0301021909308</v>
      </c>
      <c r="C10" s="33"/>
      <c r="D10" s="37">
        <f>IF(ISERROR(TER_ander_gas_kWh/1000),0,TER_ander_gas_kWh/1000)*0.902</f>
        <v>2338.2850826655908</v>
      </c>
      <c r="E10" s="33">
        <f>$C$30*'E Balans VL '!I14/100/3.6*1000000</f>
        <v>38.801380545417892</v>
      </c>
      <c r="F10" s="33">
        <f>$C$30*('E Balans VL '!L14+'E Balans VL '!N14)/100/3.6*1000000</f>
        <v>1687.4566711127088</v>
      </c>
      <c r="G10" s="34"/>
      <c r="H10" s="33"/>
      <c r="I10" s="33"/>
      <c r="J10" s="33">
        <f>$C$30*('E Balans VL '!D14+'E Balans VL '!E14)/100/3.6*1000000</f>
        <v>0</v>
      </c>
      <c r="K10" s="33"/>
      <c r="L10" s="33"/>
      <c r="M10" s="33"/>
      <c r="N10" s="33">
        <f>$C$30*'E Balans VL '!Y14/100/3.6*1000000</f>
        <v>1467.0019003778914</v>
      </c>
      <c r="O10" s="33"/>
      <c r="P10" s="33"/>
      <c r="R10" s="32"/>
    </row>
    <row r="11" spans="1:18">
      <c r="A11" s="32" t="s">
        <v>55</v>
      </c>
      <c r="B11" s="37">
        <f t="shared" si="0"/>
        <v>871.29369987545897</v>
      </c>
      <c r="C11" s="33"/>
      <c r="D11" s="37">
        <f>IF(ISERROR(TER_onderwijs_gas_kWh/1000),0,TER_onderwijs_gas_kWh/1000)*0.902</f>
        <v>4496.4330544412514</v>
      </c>
      <c r="E11" s="33">
        <f>$C$31*'E Balans VL '!I11/100/3.6*1000000</f>
        <v>0.6639711680473428</v>
      </c>
      <c r="F11" s="33">
        <f>$C$31*('E Balans VL '!L11+'E Balans VL '!N11)/100/3.6*1000000</f>
        <v>630.51587011136257</v>
      </c>
      <c r="G11" s="34"/>
      <c r="H11" s="33"/>
      <c r="I11" s="33"/>
      <c r="J11" s="33">
        <f>$C$31*('E Balans VL '!D11+'E Balans VL '!E11)/100/3.6*1000000</f>
        <v>0</v>
      </c>
      <c r="K11" s="33"/>
      <c r="L11" s="33"/>
      <c r="M11" s="33"/>
      <c r="N11" s="33">
        <f>$C$31*'E Balans VL '!Y11/100/3.6*1000000</f>
        <v>2.5679107689327894</v>
      </c>
      <c r="O11" s="33"/>
      <c r="P11" s="33"/>
      <c r="R11" s="32"/>
    </row>
    <row r="12" spans="1:18">
      <c r="A12" s="32" t="s">
        <v>261</v>
      </c>
      <c r="B12" s="37">
        <f t="shared" si="0"/>
        <v>6815.1444432533899</v>
      </c>
      <c r="C12" s="33"/>
      <c r="D12" s="37">
        <f>IF(ISERROR(TER_rest_gas_kWh/1000),0,TER_rest_gas_kWh/1000)*0.902</f>
        <v>18695.099851958414</v>
      </c>
      <c r="E12" s="33">
        <f>$C$32*'E Balans VL '!I8/100/3.6*1000000</f>
        <v>146.16476870986133</v>
      </c>
      <c r="F12" s="33">
        <f>$C$32*('E Balans VL '!L8+'E Balans VL '!N8)/100/3.6*1000000</f>
        <v>1344.7489969927617</v>
      </c>
      <c r="G12" s="34"/>
      <c r="H12" s="33"/>
      <c r="I12" s="33"/>
      <c r="J12" s="33">
        <f>$C$32*('E Balans VL '!D8+'E Balans VL '!E8)/100/3.6*1000000</f>
        <v>0</v>
      </c>
      <c r="K12" s="33"/>
      <c r="L12" s="33"/>
      <c r="M12" s="33"/>
      <c r="N12" s="33">
        <f>$C$32*'E Balans VL '!Y8/100/3.6*1000000</f>
        <v>193.29606437057566</v>
      </c>
      <c r="O12" s="33"/>
      <c r="P12" s="33"/>
      <c r="R12" s="32"/>
    </row>
    <row r="13" spans="1:18">
      <c r="A13" s="16" t="s">
        <v>497</v>
      </c>
      <c r="B13" s="248">
        <f ca="1">'lokale energieproductie'!N90+'lokale energieproductie'!N59</f>
        <v>56.7</v>
      </c>
      <c r="C13" s="248">
        <f ca="1">'lokale energieproductie'!O90+'lokale energieproductie'!O59</f>
        <v>81</v>
      </c>
      <c r="D13" s="311">
        <f ca="1">('lokale energieproductie'!P59+'lokale energieproductie'!P90)*(-1)</f>
        <v>-162.00000000000003</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39134.586746509754</v>
      </c>
      <c r="C16" s="21">
        <f ca="1">C5+C13+C14</f>
        <v>81</v>
      </c>
      <c r="D16" s="21">
        <f t="shared" ref="D16:N16" ca="1" si="1">MAX((D5+D13+D14),0)</f>
        <v>45729.756852823775</v>
      </c>
      <c r="E16" s="21">
        <f t="shared" si="1"/>
        <v>661.86987642778877</v>
      </c>
      <c r="F16" s="21">
        <f t="shared" ca="1" si="1"/>
        <v>7763.815873863442</v>
      </c>
      <c r="G16" s="21">
        <f t="shared" si="1"/>
        <v>0</v>
      </c>
      <c r="H16" s="21">
        <f t="shared" si="1"/>
        <v>0</v>
      </c>
      <c r="I16" s="21">
        <f t="shared" si="1"/>
        <v>0</v>
      </c>
      <c r="J16" s="21">
        <f t="shared" si="1"/>
        <v>0</v>
      </c>
      <c r="K16" s="21">
        <f t="shared" si="1"/>
        <v>0</v>
      </c>
      <c r="L16" s="21">
        <f t="shared" ca="1" si="1"/>
        <v>0</v>
      </c>
      <c r="M16" s="21">
        <f t="shared" si="1"/>
        <v>0</v>
      </c>
      <c r="N16" s="21">
        <f t="shared" ca="1" si="1"/>
        <v>1758.0994241926833</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0.21639483113200031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8468.522290431596</v>
      </c>
      <c r="C20" s="23">
        <f t="shared" ref="C20:P20" ca="1" si="2">C16*C18</f>
        <v>19.249411764705886</v>
      </c>
      <c r="D20" s="23">
        <f t="shared" ca="1" si="2"/>
        <v>9237.4108842704027</v>
      </c>
      <c r="E20" s="23">
        <f t="shared" si="2"/>
        <v>150.24446194910806</v>
      </c>
      <c r="F20" s="23">
        <f t="shared" ca="1" si="2"/>
        <v>2072.9388383215392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8837.8297444270192</v>
      </c>
      <c r="C26" s="39">
        <f>IF(ISERROR(B26*3.6/1000000/'E Balans VL '!Z12*100),0,B26*3.6/1000000/'E Balans VL '!Z12*100)</f>
        <v>0.18597747053406091</v>
      </c>
      <c r="D26" s="238" t="s">
        <v>720</v>
      </c>
      <c r="F26" s="6"/>
    </row>
    <row r="27" spans="1:18">
      <c r="A27" s="232" t="s">
        <v>53</v>
      </c>
      <c r="B27" s="33">
        <f>IF(ISERROR(TER_horeca_ele_kWh/1000),0,TER_horeca_ele_kWh/1000)</f>
        <v>1861.2344694476501</v>
      </c>
      <c r="C27" s="39">
        <f>IF(ISERROR(B27*3.6/1000000/'E Balans VL '!Z9*100),0,B27*3.6/1000000/'E Balans VL '!Z9*100)</f>
        <v>0.15758549250770665</v>
      </c>
      <c r="D27" s="238" t="s">
        <v>720</v>
      </c>
      <c r="F27" s="6"/>
    </row>
    <row r="28" spans="1:18">
      <c r="A28" s="172" t="s">
        <v>52</v>
      </c>
      <c r="B28" s="33">
        <f>IF(ISERROR(TER_handel_ele_kWh/1000),0,TER_handel_ele_kWh/1000)</f>
        <v>11854.0333325665</v>
      </c>
      <c r="C28" s="39">
        <f>IF(ISERROR(B28*3.6/1000000/'E Balans VL '!Z13*100),0,B28*3.6/1000000/'E Balans VL '!Z13*100)</f>
        <v>0.32817727364768651</v>
      </c>
      <c r="D28" s="238" t="s">
        <v>720</v>
      </c>
      <c r="F28" s="6"/>
    </row>
    <row r="29" spans="1:18">
      <c r="A29" s="232" t="s">
        <v>51</v>
      </c>
      <c r="B29" s="33">
        <f>IF(ISERROR(TER_gezond_ele_kWh/1000),0,TER_gezond_ele_kWh/1000)</f>
        <v>2473.32095474881</v>
      </c>
      <c r="C29" s="39">
        <f>IF(ISERROR(B29*3.6/1000000/'E Balans VL '!Z10*100),0,B29*3.6/1000000/'E Balans VL '!Z10*100)</f>
        <v>0.32150430415767645</v>
      </c>
      <c r="D29" s="238" t="s">
        <v>720</v>
      </c>
      <c r="F29" s="6"/>
    </row>
    <row r="30" spans="1:18">
      <c r="A30" s="232" t="s">
        <v>50</v>
      </c>
      <c r="B30" s="33">
        <f>IF(ISERROR(TER_ander_ele_kWh/1000),0,TER_ander_ele_kWh/1000)</f>
        <v>6365.0301021909308</v>
      </c>
      <c r="C30" s="39">
        <f>IF(ISERROR(B30*3.6/1000000/'E Balans VL '!Z14*100),0,B30*3.6/1000000/'E Balans VL '!Z14*100)</f>
        <v>0.49334820470491436</v>
      </c>
      <c r="D30" s="238" t="s">
        <v>720</v>
      </c>
      <c r="F30" s="6"/>
    </row>
    <row r="31" spans="1:18">
      <c r="A31" s="232" t="s">
        <v>55</v>
      </c>
      <c r="B31" s="33">
        <f>IF(ISERROR(TER_onderwijs_ele_kWh/1000),0,TER_onderwijs_ele_kWh/1000)</f>
        <v>871.29369987545897</v>
      </c>
      <c r="C31" s="39">
        <f>IF(ISERROR(B31*3.6/1000000/'E Balans VL '!Z11*100),0,B31*3.6/1000000/'E Balans VL '!Z11*100)</f>
        <v>0.16669333131663677</v>
      </c>
      <c r="D31" s="238" t="s">
        <v>720</v>
      </c>
    </row>
    <row r="32" spans="1:18">
      <c r="A32" s="232" t="s">
        <v>261</v>
      </c>
      <c r="B32" s="33">
        <f>IF(ISERROR(TER_rest_ele_kWh/1000),0,TER_rest_ele_kWh/1000)</f>
        <v>6815.1444432533899</v>
      </c>
      <c r="C32" s="39">
        <f>IF(ISERROR(B32*3.6/1000000/'E Balans VL '!Z8*100),0,B32*3.6/1000000/'E Balans VL '!Z8*100)</f>
        <v>5.6196099390107931E-2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84037.841152665176</v>
      </c>
      <c r="C5" s="17">
        <f>IF(ISERROR('Eigen informatie GS &amp; warmtenet'!B59),0,'Eigen informatie GS &amp; warmtenet'!B59)</f>
        <v>0</v>
      </c>
      <c r="D5" s="30">
        <f>SUM(D6:D15)</f>
        <v>57308.097254772918</v>
      </c>
      <c r="E5" s="17">
        <f>SUM(E6:E15)</f>
        <v>618.4001562668243</v>
      </c>
      <c r="F5" s="17">
        <f>SUM(F6:F15)</f>
        <v>13765.54268979386</v>
      </c>
      <c r="G5" s="18"/>
      <c r="H5" s="17"/>
      <c r="I5" s="17"/>
      <c r="J5" s="17">
        <f>SUM(J6:J15)</f>
        <v>260.39044697953523</v>
      </c>
      <c r="K5" s="17"/>
      <c r="L5" s="17"/>
      <c r="M5" s="17"/>
      <c r="N5" s="17">
        <f>SUM(N6:N15)</f>
        <v>1419.8599669697828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373.598351778059</v>
      </c>
      <c r="C8" s="33"/>
      <c r="D8" s="37">
        <f>IF( ISERROR(IND_metaal_Gas_kWH/1000),0,IND_metaal_Gas_kWH/1000)*0.902</f>
        <v>57.604254618133311</v>
      </c>
      <c r="E8" s="33">
        <f>C30*'E Balans VL '!I18/100/3.6*1000000</f>
        <v>2.6251931872071803</v>
      </c>
      <c r="F8" s="33">
        <f>C30*'E Balans VL '!L18/100/3.6*1000000+C30*'E Balans VL '!N18/100/3.6*1000000</f>
        <v>41.018913259731271</v>
      </c>
      <c r="G8" s="34"/>
      <c r="H8" s="33"/>
      <c r="I8" s="33"/>
      <c r="J8" s="40">
        <f>C30*'E Balans VL '!D18/100/3.6*1000000+C30*'E Balans VL '!E18/100/3.6*1000000</f>
        <v>7.7081392479949651</v>
      </c>
      <c r="K8" s="33"/>
      <c r="L8" s="33"/>
      <c r="M8" s="33"/>
      <c r="N8" s="33">
        <f>C30*'E Balans VL '!Y18/100/3.6*1000000</f>
        <v>1.4002735289885997</v>
      </c>
      <c r="O8" s="33"/>
      <c r="P8" s="33"/>
      <c r="R8" s="32"/>
    </row>
    <row r="9" spans="1:18">
      <c r="A9" s="6" t="s">
        <v>33</v>
      </c>
      <c r="B9" s="37">
        <f t="shared" si="0"/>
        <v>7555.8570619657603</v>
      </c>
      <c r="C9" s="33"/>
      <c r="D9" s="37">
        <f>IF( ISERROR(IND_andere_gas_kWh/1000),0,IND_andere_gas_kWh/1000)*0.902</f>
        <v>32669.466282738318</v>
      </c>
      <c r="E9" s="33">
        <f>C31*'E Balans VL '!I19/100/3.6*1000000</f>
        <v>126.90987557615051</v>
      </c>
      <c r="F9" s="33">
        <f>C31*'E Balans VL '!L19/100/3.6*1000000+C31*'E Balans VL '!N19/100/3.6*1000000</f>
        <v>5906.7387015597351</v>
      </c>
      <c r="G9" s="34"/>
      <c r="H9" s="33"/>
      <c r="I9" s="33"/>
      <c r="J9" s="40">
        <f>C31*'E Balans VL '!D19/100/3.6*1000000+C31*'E Balans VL '!E19/100/3.6*1000000</f>
        <v>0.68147160853067257</v>
      </c>
      <c r="K9" s="33"/>
      <c r="L9" s="33"/>
      <c r="M9" s="33"/>
      <c r="N9" s="33">
        <f>C31*'E Balans VL '!Y19/100/3.6*1000000</f>
        <v>560.01023134607556</v>
      </c>
      <c r="O9" s="33"/>
      <c r="P9" s="33"/>
      <c r="R9" s="32"/>
    </row>
    <row r="10" spans="1:18">
      <c r="A10" s="6" t="s">
        <v>41</v>
      </c>
      <c r="B10" s="37">
        <f t="shared" si="0"/>
        <v>4237.0252390586802</v>
      </c>
      <c r="C10" s="33"/>
      <c r="D10" s="37">
        <f>IF( ISERROR(IND_voed_gas_kWh/1000),0,IND_voed_gas_kWh/1000)*0.902</f>
        <v>4300.9245663437905</v>
      </c>
      <c r="E10" s="33">
        <f>C32*'E Balans VL '!I20/100/3.6*1000000</f>
        <v>38.656857585417953</v>
      </c>
      <c r="F10" s="33">
        <f>C32*'E Balans VL '!L20/100/3.6*1000000+C32*'E Balans VL '!N20/100/3.6*1000000</f>
        <v>683.56469745392837</v>
      </c>
      <c r="G10" s="34"/>
      <c r="H10" s="33"/>
      <c r="I10" s="33"/>
      <c r="J10" s="40">
        <f>C32*'E Balans VL '!D20/100/3.6*1000000+C32*'E Balans VL '!E20/100/3.6*1000000</f>
        <v>17.450847862656214</v>
      </c>
      <c r="K10" s="33"/>
      <c r="L10" s="33"/>
      <c r="M10" s="33"/>
      <c r="N10" s="33">
        <f>C32*'E Balans VL '!Y20/100/3.6*1000000</f>
        <v>61.984338259259097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139.896807073188</v>
      </c>
      <c r="C12" s="33"/>
      <c r="D12" s="37">
        <f>IF( ISERROR(IND_min_gas_kWh/1000),0,IND_min_gas_kWh/1000)*0.902</f>
        <v>0</v>
      </c>
      <c r="E12" s="33">
        <f>C34*'E Balans VL '!I22/100/3.6*1000000</f>
        <v>3.4698956266941083</v>
      </c>
      <c r="F12" s="33">
        <f>C34*'E Balans VL '!L22/100/3.6*1000000+C34*'E Balans VL '!N22/100/3.6*1000000</f>
        <v>14.865375262930787</v>
      </c>
      <c r="G12" s="34"/>
      <c r="H12" s="33"/>
      <c r="I12" s="33"/>
      <c r="J12" s="40">
        <f>C34*'E Balans VL '!D22/100/3.6*1000000+C34*'E Balans VL '!E22/100/3.6*1000000</f>
        <v>0.79469595033429952</v>
      </c>
      <c r="K12" s="33"/>
      <c r="L12" s="33"/>
      <c r="M12" s="33"/>
      <c r="N12" s="33">
        <f>C34*'E Balans VL '!Y22/100/3.6*1000000</f>
        <v>0</v>
      </c>
      <c r="O12" s="33"/>
      <c r="P12" s="33"/>
      <c r="R12" s="32"/>
    </row>
    <row r="13" spans="1:18">
      <c r="A13" s="6" t="s">
        <v>39</v>
      </c>
      <c r="B13" s="37">
        <f t="shared" si="0"/>
        <v>289.535600198498</v>
      </c>
      <c r="C13" s="33"/>
      <c r="D13" s="37">
        <f>IF( ISERROR(IND_papier_gas_kWh/1000),0,IND_papier_gas_kWh/1000)*0.902</f>
        <v>375.08849628129479</v>
      </c>
      <c r="E13" s="33">
        <f>C35*'E Balans VL '!I23/100/3.6*1000000</f>
        <v>8.9082547974887305</v>
      </c>
      <c r="F13" s="33">
        <f>C35*'E Balans VL '!L23/100/3.6*1000000+C35*'E Balans VL '!N23/100/3.6*1000000</f>
        <v>61.478526593532806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36725.892962993399</v>
      </c>
      <c r="C14" s="33"/>
      <c r="D14" s="37">
        <f>IF( ISERROR(IND_chemie_gas_kWh/1000),0,IND_chemie_gas_kWh/1000)*0.902</f>
        <v>0</v>
      </c>
      <c r="E14" s="33">
        <f>C36*'E Balans VL '!I24/100/3.6*1000000</f>
        <v>124.52607271645901</v>
      </c>
      <c r="F14" s="33">
        <f>C36*'E Balans VL '!L24/100/3.6*1000000+C36*'E Balans VL '!N24/100/3.6*1000000</f>
        <v>117.86228869122175</v>
      </c>
      <c r="G14" s="34"/>
      <c r="H14" s="33"/>
      <c r="I14" s="33"/>
      <c r="J14" s="40">
        <f>C36*'E Balans VL '!D24/100/3.6*1000000+C36*'E Balans VL '!E24/100/3.6*1000000</f>
        <v>0</v>
      </c>
      <c r="K14" s="33"/>
      <c r="L14" s="33"/>
      <c r="M14" s="33"/>
      <c r="N14" s="33">
        <f>C36*'E Balans VL '!Y24/100/3.6*1000000</f>
        <v>171.72032260087531</v>
      </c>
      <c r="O14" s="33"/>
      <c r="P14" s="33"/>
      <c r="R14" s="32"/>
    </row>
    <row r="15" spans="1:18">
      <c r="A15" s="6" t="s">
        <v>271</v>
      </c>
      <c r="B15" s="37">
        <f t="shared" si="0"/>
        <v>34716.0351295976</v>
      </c>
      <c r="C15" s="33"/>
      <c r="D15" s="37">
        <f>IF( ISERROR(IND_rest_gas_kWh/1000),0,IND_rest_gas_kWh/1000)*0.902</f>
        <v>19905.013654791375</v>
      </c>
      <c r="E15" s="33">
        <f>C37*'E Balans VL '!I15/100/3.6*1000000</f>
        <v>313.30400677740676</v>
      </c>
      <c r="F15" s="33">
        <f>C37*'E Balans VL '!L15/100/3.6*1000000+C37*'E Balans VL '!N15/100/3.6*1000000</f>
        <v>6940.0141869727795</v>
      </c>
      <c r="G15" s="34"/>
      <c r="H15" s="33"/>
      <c r="I15" s="33"/>
      <c r="J15" s="40">
        <f>C37*'E Balans VL '!D15/100/3.6*1000000+C37*'E Balans VL '!E15/100/3.6*1000000</f>
        <v>233.75529231001909</v>
      </c>
      <c r="K15" s="33"/>
      <c r="L15" s="33"/>
      <c r="M15" s="33"/>
      <c r="N15" s="33">
        <f>C37*'E Balans VL '!Y15/100/3.6*1000000</f>
        <v>624.7448012345842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84037.841152665176</v>
      </c>
      <c r="C18" s="21">
        <f>C5+C16</f>
        <v>0</v>
      </c>
      <c r="D18" s="21">
        <f>MAX((D5+D16),0)</f>
        <v>57308.097254772918</v>
      </c>
      <c r="E18" s="21">
        <f>MAX((E5+E16),0)</f>
        <v>618.4001562668243</v>
      </c>
      <c r="F18" s="21">
        <f>MAX((F5+F16),0)</f>
        <v>13765.54268979386</v>
      </c>
      <c r="G18" s="21"/>
      <c r="H18" s="21"/>
      <c r="I18" s="21"/>
      <c r="J18" s="21">
        <f>MAX((J5+J16),0)</f>
        <v>260.39044697953523</v>
      </c>
      <c r="K18" s="21"/>
      <c r="L18" s="21">
        <f>MAX((L5+L16),0)</f>
        <v>0</v>
      </c>
      <c r="M18" s="21"/>
      <c r="N18" s="21">
        <f>MAX((N5+N16),0)</f>
        <v>1419.8599669697828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0.21639483113200031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18185.354444928846</v>
      </c>
      <c r="C22" s="23">
        <f ca="1">C18*C20</f>
        <v>0</v>
      </c>
      <c r="D22" s="23">
        <f>D18*D20</f>
        <v>11576.23564546413</v>
      </c>
      <c r="E22" s="23">
        <f>E18*E20</f>
        <v>140.37683547256913</v>
      </c>
      <c r="F22" s="23">
        <f>F18*F20</f>
        <v>3675.3998981749605</v>
      </c>
      <c r="G22" s="23"/>
      <c r="H22" s="23"/>
      <c r="I22" s="23"/>
      <c r="J22" s="23">
        <f>J18*J20</f>
        <v>92.178218230755462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373.598351778059</v>
      </c>
      <c r="C30" s="39">
        <f>IF(ISERROR(B30*3.6/1000000/'E Balans VL '!Z18*100),0,B30*3.6/1000000/'E Balans VL '!Z18*100)</f>
        <v>2.4870670416136564E-2</v>
      </c>
      <c r="D30" s="238" t="s">
        <v>720</v>
      </c>
    </row>
    <row r="31" spans="1:18">
      <c r="A31" s="6" t="s">
        <v>33</v>
      </c>
      <c r="B31" s="37">
        <f>IF( ISERROR(IND_ander_ele_kWh/1000),0,IND_ander_ele_kWh/1000)</f>
        <v>7555.8570619657603</v>
      </c>
      <c r="C31" s="39">
        <f>IF(ISERROR(B31*3.6/1000000/'E Balans VL '!Z19*100),0,B31*3.6/1000000/'E Balans VL '!Z19*100)</f>
        <v>0.33492120009698584</v>
      </c>
      <c r="D31" s="238" t="s">
        <v>720</v>
      </c>
    </row>
    <row r="32" spans="1:18">
      <c r="A32" s="172" t="s">
        <v>41</v>
      </c>
      <c r="B32" s="37">
        <f>IF( ISERROR(IND_voed_ele_kWh/1000),0,IND_voed_ele_kWh/1000)</f>
        <v>4237.0252390586802</v>
      </c>
      <c r="C32" s="39">
        <f>IF(ISERROR(B32*3.6/1000000/'E Balans VL '!Z20*100),0,B32*3.6/1000000/'E Balans VL '!Z20*100)</f>
        <v>0.14152879743687721</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139.896807073188</v>
      </c>
      <c r="C34" s="39">
        <f>IF(ISERROR(B34*3.6/1000000/'E Balans VL '!Z22*100),0,B34*3.6/1000000/'E Balans VL '!Z22*100)</f>
        <v>2.7208392296659493E-2</v>
      </c>
      <c r="D34" s="238" t="s">
        <v>720</v>
      </c>
    </row>
    <row r="35" spans="1:5">
      <c r="A35" s="172" t="s">
        <v>39</v>
      </c>
      <c r="B35" s="37">
        <f>IF( ISERROR(IND_papier_ele_kWh/1000),0,IND_papier_ele_kWh/1000)</f>
        <v>289.535600198498</v>
      </c>
      <c r="C35" s="39">
        <f>IF(ISERROR(B35*3.6/1000000/'E Balans VL '!Z22*100),0,B35*3.6/1000000/'E Balans VL '!Z22*100)</f>
        <v>5.6311493870822724E-2</v>
      </c>
      <c r="D35" s="238" t="s">
        <v>720</v>
      </c>
    </row>
    <row r="36" spans="1:5">
      <c r="A36" s="172" t="s">
        <v>34</v>
      </c>
      <c r="B36" s="37">
        <f>IF( ISERROR(IND_chemie_ele_kWh/1000),0,IND_chemie_ele_kWh/1000)</f>
        <v>36725.892962993399</v>
      </c>
      <c r="C36" s="39">
        <f>IF(ISERROR(B36*3.6/1000000/'E Balans VL '!Z24*100),0,B36*3.6/1000000/'E Balans VL '!Z24*100)</f>
        <v>0.86242288423221503</v>
      </c>
      <c r="D36" s="238" t="s">
        <v>720</v>
      </c>
    </row>
    <row r="37" spans="1:5">
      <c r="A37" s="172" t="s">
        <v>271</v>
      </c>
      <c r="B37" s="37">
        <f>IF( ISERROR(IND_rest_ele_kWh/1000),0,IND_rest_ele_kWh/1000)</f>
        <v>34716.0351295976</v>
      </c>
      <c r="C37" s="39">
        <f>IF(ISERROR(B37*3.6/1000000/'E Balans VL '!Z15*100),0,B37*3.6/1000000/'E Balans VL '!Z15*100)</f>
        <v>0.25823074410511487</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5332.1023893616393</v>
      </c>
      <c r="C5" s="17">
        <f>'Eigen informatie GS &amp; warmtenet'!B60</f>
        <v>0</v>
      </c>
      <c r="D5" s="30">
        <f>IF(ISERROR(SUM(LB_lb_gas_kWh,LB_rest_gas_kWh,onbekend_gas_kWh)/1000),0,SUM(LB_lb_gas_kWh,LB_rest_gas_kWh,onbekend_gas_kWh)/1000)*0.902</f>
        <v>10228.335375493687</v>
      </c>
      <c r="E5" s="17">
        <f>B17*'E Balans VL '!I25/3.6*1000000/100</f>
        <v>55.838930574488138</v>
      </c>
      <c r="F5" s="17">
        <f>B17*('E Balans VL '!L25/3.6*1000000+'E Balans VL '!N25/3.6*1000000)/100</f>
        <v>27386.526871858579</v>
      </c>
      <c r="G5" s="18"/>
      <c r="H5" s="17"/>
      <c r="I5" s="17"/>
      <c r="J5" s="17">
        <f>('E Balans VL '!D25+'E Balans VL '!E25)/3.6*1000000*landbouw!B17/100</f>
        <v>476.20453581903325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5332.1023893616393</v>
      </c>
      <c r="C8" s="21">
        <f>C5+C6</f>
        <v>0</v>
      </c>
      <c r="D8" s="21">
        <f>MAX((D5+D6),0)</f>
        <v>10228.335375493687</v>
      </c>
      <c r="E8" s="21">
        <f>MAX((E5+E6),0)</f>
        <v>55.838930574488138</v>
      </c>
      <c r="F8" s="21">
        <f>MAX((F5+F6),0)</f>
        <v>27386.526871858579</v>
      </c>
      <c r="G8" s="21"/>
      <c r="H8" s="21"/>
      <c r="I8" s="21"/>
      <c r="J8" s="21">
        <f>MAX((J5+J6),0)</f>
        <v>476.20453581903325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0.21639483113200031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1153.8393961244474</v>
      </c>
      <c r="C12" s="23">
        <f ca="1">C8*C10</f>
        <v>0</v>
      </c>
      <c r="D12" s="23">
        <f>D8*D10</f>
        <v>2066.1237458497249</v>
      </c>
      <c r="E12" s="23">
        <f>E8*E10</f>
        <v>12.675437240408808</v>
      </c>
      <c r="F12" s="23">
        <f>F8*F10</f>
        <v>7312.202674786241</v>
      </c>
      <c r="G12" s="23"/>
      <c r="H12" s="23"/>
      <c r="I12" s="23"/>
      <c r="J12" s="23">
        <f>J8*J10</f>
        <v>168.57640567993775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0.82071348631991503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878.80756019763851</v>
      </c>
      <c r="C26" s="248">
        <f>B26*'GWP N2O_CH4'!B5</f>
        <v>18454.958764150408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307.84870107173515</v>
      </c>
      <c r="C27" s="248">
        <f>B27*'GWP N2O_CH4'!B5</f>
        <v>6464.8227225064384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11.867883084410828</v>
      </c>
      <c r="C28" s="248">
        <f>B28*'GWP N2O_CH4'!B4</f>
        <v>3679.0437561673566</v>
      </c>
      <c r="D28" s="50"/>
    </row>
    <row r="29" spans="1:4">
      <c r="A29" s="41" t="s">
        <v>278</v>
      </c>
      <c r="B29" s="248">
        <f>B34*'ha_N2O bodem landbouw'!B4</f>
        <v>38.687368172977983</v>
      </c>
      <c r="C29" s="248">
        <f>B29*'GWP N2O_CH4'!B4</f>
        <v>11993.084133623175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6.3935956987456657E-3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5.0196491736890322E-6</v>
      </c>
      <c r="C5" s="446" t="s">
        <v>212</v>
      </c>
      <c r="D5" s="431">
        <f>SUM(D6:D11)</f>
        <v>2.690612083942727E-5</v>
      </c>
      <c r="E5" s="431">
        <f>SUM(E6:E11)</f>
        <v>2.691789372879293E-3</v>
      </c>
      <c r="F5" s="444" t="s">
        <v>212</v>
      </c>
      <c r="G5" s="431">
        <f>SUM(G6:G11)</f>
        <v>0.47206764352376002</v>
      </c>
      <c r="H5" s="431">
        <f>SUM(H6:H11)</f>
        <v>8.8884408367864404E-2</v>
      </c>
      <c r="I5" s="446" t="s">
        <v>212</v>
      </c>
      <c r="J5" s="446" t="s">
        <v>212</v>
      </c>
      <c r="K5" s="446" t="s">
        <v>212</v>
      </c>
      <c r="L5" s="446" t="s">
        <v>212</v>
      </c>
      <c r="M5" s="431">
        <f>SUM(M6:M11)</f>
        <v>2.4497211745283635E-2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3.4809174352697616E-6</v>
      </c>
      <c r="C6" s="432"/>
      <c r="D6" s="432">
        <f>vkm_2011_GW_PW*SUMIFS(TableVerdeelsleutelVkm[CNG],TableVerdeelsleutelVkm[Voertuigtype],"Lichte voertuigen")*SUMIFS(TableECFTransport[EnergieConsumptieFactor (PJ per km)],TableECFTransport[Index],CONCATENATE($A6,"_CNG_CNG"))</f>
        <v>1.5005830442052011E-5</v>
      </c>
      <c r="E6" s="434">
        <f>vkm_2011_GW_PW*SUMIFS(TableVerdeelsleutelVkm[LPG],TableVerdeelsleutelVkm[Voertuigtype],"Lichte voertuigen")*SUMIFS(TableECFTransport[EnergieConsumptieFactor (PJ per km)],TableECFTransport[Index],CONCATENATE($A6,"_LPG_LPG"))</f>
        <v>1.5612645836523759E-3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0.19203982989594007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5.0560107566351452E-2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1.0631892328269119E-2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0.12030345729342733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4.1250388383040768E-5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5.1968839454855234E-3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1.5387317384192706E-6</v>
      </c>
      <c r="C8" s="432"/>
      <c r="D8" s="434">
        <f>vkm_2011_NGW_PW*SUMIFS(TableVerdeelsleutelVkm[CNG],TableVerdeelsleutelVkm[Voertuigtype],"Lichte voertuigen")*SUMIFS(TableECFTransport[EnergieConsumptieFactor (PJ per km)],TableECFTransport[Index],CONCATENATE($A8,"_CNG_CNG"))</f>
        <v>1.1900290397375259E-5</v>
      </c>
      <c r="E8" s="434">
        <f>vkm_2011_NGW_PW*SUMIFS(TableVerdeelsleutelVkm[LPG],TableVerdeelsleutelVkm[Voertuigtype],"Lichte voertuigen")*SUMIFS(TableECFTransport[EnergieConsumptieFactor (PJ per km)],TableECFTransport[Index],CONCATENATE($A8,"_LPG_LPG"))</f>
        <v>1.130524789226917E-3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0.13189301728410405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3.8274760188386131E-2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7.4662317305488222E-3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2.7831339050288621E-2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8.2902247437764831E-6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1.20220374098017E-3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1.3943469926913978</v>
      </c>
      <c r="C14" s="21"/>
      <c r="D14" s="21">
        <f t="shared" ref="D14:M14" si="0">((D5)*10^9/3600)+D12</f>
        <v>7.4739224553964636</v>
      </c>
      <c r="E14" s="21">
        <f t="shared" si="0"/>
        <v>747.71927024424804</v>
      </c>
      <c r="F14" s="21"/>
      <c r="G14" s="21">
        <f t="shared" si="0"/>
        <v>131129.90097882223</v>
      </c>
      <c r="H14" s="21">
        <f t="shared" si="0"/>
        <v>24690.113435517887</v>
      </c>
      <c r="I14" s="21"/>
      <c r="J14" s="21"/>
      <c r="K14" s="21"/>
      <c r="L14" s="21"/>
      <c r="M14" s="21">
        <f t="shared" si="0"/>
        <v>6804.7810403565645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0.21639483113200031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0.30172948202286748</v>
      </c>
      <c r="C18" s="23"/>
      <c r="D18" s="23">
        <f t="shared" ref="D18:M18" si="1">D14*D16</f>
        <v>1.5097323359900858</v>
      </c>
      <c r="E18" s="23">
        <f t="shared" si="1"/>
        <v>169.7322743454443</v>
      </c>
      <c r="F18" s="23"/>
      <c r="G18" s="23">
        <f t="shared" si="1"/>
        <v>35011.683561345541</v>
      </c>
      <c r="H18" s="23">
        <f t="shared" si="1"/>
        <v>6147.8382454439543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3.8267257401573755E-3</v>
      </c>
      <c r="C50" s="322">
        <f t="shared" ref="C50:P50" si="2">SUM(C51:C52)</f>
        <v>0</v>
      </c>
      <c r="D50" s="322">
        <f t="shared" si="2"/>
        <v>0</v>
      </c>
      <c r="E50" s="322">
        <f t="shared" si="2"/>
        <v>0</v>
      </c>
      <c r="F50" s="322">
        <f t="shared" si="2"/>
        <v>0</v>
      </c>
      <c r="G50" s="322">
        <f t="shared" si="2"/>
        <v>1.127804624680276E-2</v>
      </c>
      <c r="H50" s="322">
        <f t="shared" si="2"/>
        <v>0</v>
      </c>
      <c r="I50" s="322">
        <f t="shared" si="2"/>
        <v>0</v>
      </c>
      <c r="J50" s="322">
        <f t="shared" si="2"/>
        <v>0</v>
      </c>
      <c r="K50" s="322">
        <f t="shared" si="2"/>
        <v>0</v>
      </c>
      <c r="L50" s="322">
        <f t="shared" si="2"/>
        <v>0</v>
      </c>
      <c r="M50" s="322">
        <f t="shared" si="2"/>
        <v>4.8073411429356313E-4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1.127804624680276E-2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4.8073411429356313E-4</v>
      </c>
      <c r="N51" s="324"/>
      <c r="O51" s="324"/>
      <c r="P51" s="327"/>
    </row>
    <row r="52" spans="1:18">
      <c r="A52" s="4" t="s">
        <v>331</v>
      </c>
      <c r="B52" s="328">
        <f>vkm_2011_tram*SUMIFS(TableECFTransport[EnergieConsumptieFactor (PJ per km)],TableECFTransport[Index],"Tram_gemiddeld_Electric_Electric")</f>
        <v>3.8267257401573755E-3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1062.9793722659376</v>
      </c>
      <c r="C54" s="21">
        <f t="shared" ref="C54:P54" si="3">(C50)*10^9/3600</f>
        <v>0</v>
      </c>
      <c r="D54" s="21">
        <f t="shared" si="3"/>
        <v>0</v>
      </c>
      <c r="E54" s="21">
        <f t="shared" si="3"/>
        <v>0</v>
      </c>
      <c r="F54" s="21">
        <f t="shared" si="3"/>
        <v>0</v>
      </c>
      <c r="G54" s="21">
        <f t="shared" si="3"/>
        <v>3132.7906241118781</v>
      </c>
      <c r="H54" s="21">
        <f t="shared" si="3"/>
        <v>0</v>
      </c>
      <c r="I54" s="21">
        <f t="shared" si="3"/>
        <v>0</v>
      </c>
      <c r="J54" s="21">
        <f t="shared" si="3"/>
        <v>0</v>
      </c>
      <c r="K54" s="21">
        <f t="shared" si="3"/>
        <v>0</v>
      </c>
      <c r="L54" s="21">
        <f t="shared" si="3"/>
        <v>0</v>
      </c>
      <c r="M54" s="21">
        <f t="shared" si="3"/>
        <v>133.53725397043419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0.21639483113200031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230.02324175828727</v>
      </c>
      <c r="C58" s="23">
        <f t="shared" ref="C58:P58" ca="1" si="4">C54*C56</f>
        <v>0</v>
      </c>
      <c r="D58" s="23">
        <f t="shared" si="4"/>
        <v>0</v>
      </c>
      <c r="E58" s="23">
        <f t="shared" si="4"/>
        <v>0</v>
      </c>
      <c r="F58" s="23">
        <f t="shared" si="4"/>
        <v>0</v>
      </c>
      <c r="G58" s="23">
        <f t="shared" si="4"/>
        <v>836.45509663787152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4279.4099705773915</v>
      </c>
      <c r="C6" s="1124"/>
      <c r="D6" s="1127"/>
      <c r="E6" s="1127"/>
      <c r="F6" s="1130"/>
      <c r="G6" s="1133"/>
      <c r="H6" s="1121"/>
      <c r="I6" s="1127"/>
      <c r="J6" s="1127"/>
      <c r="K6" s="1127"/>
      <c r="L6" s="1157"/>
      <c r="M6" s="559"/>
      <c r="N6" s="1169"/>
      <c r="O6" s="1170"/>
      <c r="Q6" s="557"/>
      <c r="R6" s="1154"/>
      <c r="S6" s="1154"/>
    </row>
    <row r="7" spans="1:19" s="547" customFormat="1">
      <c r="A7" s="560" t="s">
        <v>253</v>
      </c>
      <c r="B7" s="561">
        <f>N57</f>
        <v>56.7</v>
      </c>
      <c r="C7" s="562">
        <f>B100</f>
        <v>66.705882352941188</v>
      </c>
      <c r="D7" s="563"/>
      <c r="E7" s="563">
        <f>E100</f>
        <v>0</v>
      </c>
      <c r="F7" s="564"/>
      <c r="G7" s="565"/>
      <c r="H7" s="563">
        <f>I100</f>
        <v>0</v>
      </c>
      <c r="I7" s="563">
        <f>G100+F100</f>
        <v>0</v>
      </c>
      <c r="J7" s="563">
        <f>H100+D100+C100</f>
        <v>0</v>
      </c>
      <c r="K7" s="563"/>
      <c r="L7" s="566"/>
      <c r="M7" s="567">
        <f>C7*$C$11+D7*$D$11+E7*$E$11+F7*$F$11+G7*$G$11+H7*$H$11+I7*$I$11+J7*$J$11</f>
        <v>13.474588235294121</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4336.1099705773913</v>
      </c>
      <c r="C9" s="578">
        <f t="shared" ref="C9:L9" si="0">SUM(C7:C8)</f>
        <v>66.705882352941188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13.474588235294121</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81</v>
      </c>
      <c r="C16" s="594">
        <f>B101</f>
        <v>95.29411764705884</v>
      </c>
      <c r="D16" s="595"/>
      <c r="E16" s="595">
        <f>E101</f>
        <v>0</v>
      </c>
      <c r="F16" s="596"/>
      <c r="G16" s="597"/>
      <c r="H16" s="594">
        <f>I101</f>
        <v>0</v>
      </c>
      <c r="I16" s="595">
        <f>G101+F101</f>
        <v>0</v>
      </c>
      <c r="J16" s="595">
        <f>H101+D101+C101</f>
        <v>0</v>
      </c>
      <c r="K16" s="595"/>
      <c r="L16" s="598"/>
      <c r="M16" s="599">
        <f>C16*$C$21+E16*$E$21+H16*$H$21+I16*$I$21+J16*$J$21+D16*$D$21+F16*$F$21+G16*$G$21+K16*$K$21+L16*$L$21</f>
        <v>19.249411764705886</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81</v>
      </c>
      <c r="C19" s="577">
        <f>SUM(C16:C18)</f>
        <v>95.29411764705884</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19.249411764705886</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44019</v>
      </c>
      <c r="C27" s="839">
        <v>9940</v>
      </c>
      <c r="D27" s="656" t="s">
        <v>894</v>
      </c>
      <c r="E27" s="655" t="s">
        <v>895</v>
      </c>
      <c r="F27" s="655" t="s">
        <v>896</v>
      </c>
      <c r="G27" s="655" t="s">
        <v>897</v>
      </c>
      <c r="H27" s="655" t="s">
        <v>898</v>
      </c>
      <c r="I27" s="655" t="s">
        <v>895</v>
      </c>
      <c r="J27" s="838">
        <v>39861</v>
      </c>
      <c r="K27" s="838">
        <v>39861</v>
      </c>
      <c r="L27" s="655" t="s">
        <v>899</v>
      </c>
      <c r="M27" s="655">
        <v>12.6</v>
      </c>
      <c r="N27" s="655">
        <v>56.7</v>
      </c>
      <c r="O27" s="655">
        <v>81</v>
      </c>
      <c r="P27" s="655">
        <v>162.00000000000003</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12.6</v>
      </c>
      <c r="N57" s="613">
        <f>SUM(N27:N56)</f>
        <v>56.7</v>
      </c>
      <c r="O57" s="613">
        <f t="shared" ref="O57:W57" si="2">SUM(O27:O56)</f>
        <v>81</v>
      </c>
      <c r="P57" s="613">
        <f t="shared" si="2"/>
        <v>162.00000000000003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12.6</v>
      </c>
      <c r="N59" s="613">
        <f ca="1">SUMIF($Z$27:AB56,"tertiair",N27:N56)</f>
        <v>56.7</v>
      </c>
      <c r="O59" s="613">
        <f ca="1">SUMIF($Z$27:AC56,"tertiair",O27:O56)</f>
        <v>81</v>
      </c>
      <c r="P59" s="613">
        <f ca="1">SUMIF($Z$27:AD56,"tertiair",P27:P56)</f>
        <v>162.00000000000003</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66.705882352941188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95.29411764705884</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41495.631746509753</v>
      </c>
      <c r="D10" s="702">
        <f ca="1">tertiair!C16</f>
        <v>81</v>
      </c>
      <c r="E10" s="702">
        <f ca="1">tertiair!D16</f>
        <v>45729.756852823775</v>
      </c>
      <c r="F10" s="702">
        <f>tertiair!E16</f>
        <v>661.86987642778877</v>
      </c>
      <c r="G10" s="702">
        <f ca="1">tertiair!F16</f>
        <v>7763.815873863442</v>
      </c>
      <c r="H10" s="702">
        <f>tertiair!G16</f>
        <v>0</v>
      </c>
      <c r="I10" s="702">
        <f>tertiair!H16</f>
        <v>0</v>
      </c>
      <c r="J10" s="702">
        <f>tertiair!I16</f>
        <v>0</v>
      </c>
      <c r="K10" s="702">
        <f>tertiair!J16</f>
        <v>0</v>
      </c>
      <c r="L10" s="702">
        <f>tertiair!K16</f>
        <v>0</v>
      </c>
      <c r="M10" s="702">
        <f ca="1">tertiair!L16</f>
        <v>0</v>
      </c>
      <c r="N10" s="702">
        <f>tertiair!M16</f>
        <v>0</v>
      </c>
      <c r="O10" s="702">
        <f ca="1">tertiair!N16</f>
        <v>1758.0994241926833</v>
      </c>
      <c r="P10" s="702">
        <f>tertiair!O16</f>
        <v>4.6900000000000004</v>
      </c>
      <c r="Q10" s="703">
        <f>tertiair!P16</f>
        <v>76.266666666666666</v>
      </c>
      <c r="R10" s="705">
        <f ca="1">SUM(C10:Q10)</f>
        <v>97571.130440484107</v>
      </c>
      <c r="S10" s="67"/>
    </row>
    <row r="11" spans="1:19" s="457" customFormat="1">
      <c r="A11" s="858" t="s">
        <v>226</v>
      </c>
      <c r="B11" s="863"/>
      <c r="C11" s="702">
        <f>huishoudens!B8</f>
        <v>73232.06401360617</v>
      </c>
      <c r="D11" s="702">
        <f>huishoudens!C8</f>
        <v>0</v>
      </c>
      <c r="E11" s="702">
        <f>huishoudens!D8</f>
        <v>92399.056897250077</v>
      </c>
      <c r="F11" s="702">
        <f>huishoudens!E8</f>
        <v>8867.4314622889597</v>
      </c>
      <c r="G11" s="702">
        <f>huishoudens!F8</f>
        <v>64117.241469521956</v>
      </c>
      <c r="H11" s="702">
        <f>huishoudens!G8</f>
        <v>0</v>
      </c>
      <c r="I11" s="702">
        <f>huishoudens!H8</f>
        <v>0</v>
      </c>
      <c r="J11" s="702">
        <f>huishoudens!I8</f>
        <v>0</v>
      </c>
      <c r="K11" s="702">
        <f>huishoudens!J8</f>
        <v>720.0198137741977</v>
      </c>
      <c r="L11" s="702">
        <f>huishoudens!K8</f>
        <v>0</v>
      </c>
      <c r="M11" s="702">
        <f>huishoudens!L8</f>
        <v>0</v>
      </c>
      <c r="N11" s="702">
        <f>huishoudens!M8</f>
        <v>0</v>
      </c>
      <c r="O11" s="702">
        <f>huishoudens!N8</f>
        <v>26075.401488699456</v>
      </c>
      <c r="P11" s="702">
        <f>huishoudens!O8</f>
        <v>201.67000000000004</v>
      </c>
      <c r="Q11" s="703">
        <f>huishoudens!P8</f>
        <v>648.26666666666665</v>
      </c>
      <c r="R11" s="705">
        <f>SUM(C11:Q11)</f>
        <v>266261.15181180742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84037.841152665176</v>
      </c>
      <c r="D13" s="702">
        <f>industrie!C18</f>
        <v>0</v>
      </c>
      <c r="E13" s="702">
        <f>industrie!D18</f>
        <v>57308.097254772918</v>
      </c>
      <c r="F13" s="702">
        <f>industrie!E18</f>
        <v>618.4001562668243</v>
      </c>
      <c r="G13" s="702">
        <f>industrie!F18</f>
        <v>13765.54268979386</v>
      </c>
      <c r="H13" s="702">
        <f>industrie!G18</f>
        <v>0</v>
      </c>
      <c r="I13" s="702">
        <f>industrie!H18</f>
        <v>0</v>
      </c>
      <c r="J13" s="702">
        <f>industrie!I18</f>
        <v>0</v>
      </c>
      <c r="K13" s="702">
        <f>industrie!J18</f>
        <v>260.39044697953523</v>
      </c>
      <c r="L13" s="702">
        <f>industrie!K18</f>
        <v>0</v>
      </c>
      <c r="M13" s="702">
        <f>industrie!L18</f>
        <v>0</v>
      </c>
      <c r="N13" s="702">
        <f>industrie!M18</f>
        <v>0</v>
      </c>
      <c r="O13" s="702">
        <f>industrie!N18</f>
        <v>1419.8599669697828</v>
      </c>
      <c r="P13" s="702">
        <f>industrie!O18</f>
        <v>0</v>
      </c>
      <c r="Q13" s="703">
        <f>industrie!P18</f>
        <v>0</v>
      </c>
      <c r="R13" s="705">
        <f>SUM(C13:Q13)</f>
        <v>157410.13166744809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198765.5369127811</v>
      </c>
      <c r="D15" s="707">
        <f t="shared" ref="D15:Q15" ca="1" si="0">SUM(D9:D14)</f>
        <v>81</v>
      </c>
      <c r="E15" s="707">
        <f t="shared" ca="1" si="0"/>
        <v>195436.91100484674</v>
      </c>
      <c r="F15" s="707">
        <f t="shared" si="0"/>
        <v>10147.701494983572</v>
      </c>
      <c r="G15" s="707">
        <f t="shared" ca="1" si="0"/>
        <v>85646.60003317926</v>
      </c>
      <c r="H15" s="707">
        <f t="shared" si="0"/>
        <v>0</v>
      </c>
      <c r="I15" s="707">
        <f t="shared" si="0"/>
        <v>0</v>
      </c>
      <c r="J15" s="707">
        <f t="shared" si="0"/>
        <v>0</v>
      </c>
      <c r="K15" s="707">
        <f t="shared" si="0"/>
        <v>980.41026075373293</v>
      </c>
      <c r="L15" s="707">
        <f t="shared" si="0"/>
        <v>0</v>
      </c>
      <c r="M15" s="707">
        <f t="shared" ca="1" si="0"/>
        <v>0</v>
      </c>
      <c r="N15" s="707">
        <f t="shared" si="0"/>
        <v>0</v>
      </c>
      <c r="O15" s="707">
        <f t="shared" ca="1" si="0"/>
        <v>29253.360879861921</v>
      </c>
      <c r="P15" s="707">
        <f t="shared" si="0"/>
        <v>206.36000000000004</v>
      </c>
      <c r="Q15" s="708">
        <f t="shared" si="0"/>
        <v>724.5333333333333</v>
      </c>
      <c r="R15" s="709">
        <f ca="1">SUM(R9:R14)</f>
        <v>521242.4139197396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1062.9793722659376</v>
      </c>
      <c r="D18" s="702">
        <f>transport!C54</f>
        <v>0</v>
      </c>
      <c r="E18" s="702">
        <f>transport!D54</f>
        <v>0</v>
      </c>
      <c r="F18" s="702">
        <f>transport!E54</f>
        <v>0</v>
      </c>
      <c r="G18" s="702">
        <f>transport!F54</f>
        <v>0</v>
      </c>
      <c r="H18" s="702">
        <f>transport!G54</f>
        <v>3132.7906241118781</v>
      </c>
      <c r="I18" s="702">
        <f>transport!H54</f>
        <v>0</v>
      </c>
      <c r="J18" s="702">
        <f>transport!I54</f>
        <v>0</v>
      </c>
      <c r="K18" s="702">
        <f>transport!J54</f>
        <v>0</v>
      </c>
      <c r="L18" s="702">
        <f>transport!K54</f>
        <v>0</v>
      </c>
      <c r="M18" s="702">
        <f>transport!L54</f>
        <v>0</v>
      </c>
      <c r="N18" s="702">
        <f>transport!M54</f>
        <v>133.53725397043419</v>
      </c>
      <c r="O18" s="702">
        <f>transport!N54</f>
        <v>0</v>
      </c>
      <c r="P18" s="702">
        <f>transport!O54</f>
        <v>0</v>
      </c>
      <c r="Q18" s="703">
        <f>transport!P54</f>
        <v>0</v>
      </c>
      <c r="R18" s="705">
        <f>SUM(C18:Q18)</f>
        <v>4329.3072503482499</v>
      </c>
      <c r="S18" s="67"/>
    </row>
    <row r="19" spans="1:19" s="457" customFormat="1" ht="15" thickBot="1">
      <c r="A19" s="858" t="s">
        <v>308</v>
      </c>
      <c r="B19" s="863"/>
      <c r="C19" s="711">
        <f>transport!B14</f>
        <v>1.3943469926913978</v>
      </c>
      <c r="D19" s="711">
        <f>transport!C14</f>
        <v>0</v>
      </c>
      <c r="E19" s="711">
        <f>transport!D14</f>
        <v>7.4739224553964636</v>
      </c>
      <c r="F19" s="711">
        <f>transport!E14</f>
        <v>747.71927024424804</v>
      </c>
      <c r="G19" s="711">
        <f>transport!F14</f>
        <v>0</v>
      </c>
      <c r="H19" s="711">
        <f>transport!G14</f>
        <v>131129.90097882223</v>
      </c>
      <c r="I19" s="711">
        <f>transport!H14</f>
        <v>24690.113435517887</v>
      </c>
      <c r="J19" s="711">
        <f>transport!I14</f>
        <v>0</v>
      </c>
      <c r="K19" s="711">
        <f>transport!J14</f>
        <v>0</v>
      </c>
      <c r="L19" s="711">
        <f>transport!K14</f>
        <v>0</v>
      </c>
      <c r="M19" s="711">
        <f>transport!L14</f>
        <v>0</v>
      </c>
      <c r="N19" s="711">
        <f>transport!M14</f>
        <v>6804.7810403565645</v>
      </c>
      <c r="O19" s="711">
        <f>transport!N14</f>
        <v>0</v>
      </c>
      <c r="P19" s="711">
        <f>transport!O14</f>
        <v>0</v>
      </c>
      <c r="Q19" s="712">
        <f>transport!P14</f>
        <v>0</v>
      </c>
      <c r="R19" s="713">
        <f>SUM(C19:Q19)</f>
        <v>163381.38299438899</v>
      </c>
      <c r="S19" s="67"/>
    </row>
    <row r="20" spans="1:19" s="457" customFormat="1" ht="15.75" thickBot="1">
      <c r="A20" s="714" t="s">
        <v>231</v>
      </c>
      <c r="B20" s="866"/>
      <c r="C20" s="861">
        <f>SUM(C17:C19)</f>
        <v>1064.3737192586291</v>
      </c>
      <c r="D20" s="715">
        <f t="shared" ref="D20:R20" si="1">SUM(D17:D19)</f>
        <v>0</v>
      </c>
      <c r="E20" s="715">
        <f t="shared" si="1"/>
        <v>7.4739224553964636</v>
      </c>
      <c r="F20" s="715">
        <f t="shared" si="1"/>
        <v>747.71927024424804</v>
      </c>
      <c r="G20" s="715">
        <f t="shared" si="1"/>
        <v>0</v>
      </c>
      <c r="H20" s="715">
        <f t="shared" si="1"/>
        <v>134262.69160293412</v>
      </c>
      <c r="I20" s="715">
        <f t="shared" si="1"/>
        <v>24690.113435517887</v>
      </c>
      <c r="J20" s="715">
        <f t="shared" si="1"/>
        <v>0</v>
      </c>
      <c r="K20" s="715">
        <f t="shared" si="1"/>
        <v>0</v>
      </c>
      <c r="L20" s="715">
        <f t="shared" si="1"/>
        <v>0</v>
      </c>
      <c r="M20" s="715">
        <f t="shared" si="1"/>
        <v>0</v>
      </c>
      <c r="N20" s="715">
        <f t="shared" si="1"/>
        <v>6938.3182943269985</v>
      </c>
      <c r="O20" s="715">
        <f t="shared" si="1"/>
        <v>0</v>
      </c>
      <c r="P20" s="715">
        <f t="shared" si="1"/>
        <v>0</v>
      </c>
      <c r="Q20" s="716">
        <f t="shared" si="1"/>
        <v>0</v>
      </c>
      <c r="R20" s="717">
        <f t="shared" si="1"/>
        <v>167710.69024473723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5332.1023893616393</v>
      </c>
      <c r="D22" s="711">
        <f>+landbouw!C8</f>
        <v>0</v>
      </c>
      <c r="E22" s="711">
        <f>+landbouw!D8</f>
        <v>10228.335375493687</v>
      </c>
      <c r="F22" s="711">
        <f>+landbouw!E8</f>
        <v>55.838930574488138</v>
      </c>
      <c r="G22" s="711">
        <f>+landbouw!F8</f>
        <v>27386.526871858579</v>
      </c>
      <c r="H22" s="711">
        <f>+landbouw!G8</f>
        <v>0</v>
      </c>
      <c r="I22" s="711">
        <f>+landbouw!H8</f>
        <v>0</v>
      </c>
      <c r="J22" s="711">
        <f>+landbouw!I8</f>
        <v>0</v>
      </c>
      <c r="K22" s="711">
        <f>+landbouw!J8</f>
        <v>476.20453581903325</v>
      </c>
      <c r="L22" s="711">
        <f>+landbouw!K8</f>
        <v>0</v>
      </c>
      <c r="M22" s="711">
        <f>+landbouw!L8</f>
        <v>0</v>
      </c>
      <c r="N22" s="711">
        <f>+landbouw!M8</f>
        <v>0</v>
      </c>
      <c r="O22" s="711">
        <f>+landbouw!N8</f>
        <v>0</v>
      </c>
      <c r="P22" s="711">
        <f>+landbouw!O8</f>
        <v>0</v>
      </c>
      <c r="Q22" s="712">
        <f>+landbouw!P8</f>
        <v>0</v>
      </c>
      <c r="R22" s="713">
        <f>SUM(C22:Q22)</f>
        <v>43479.008103107422</v>
      </c>
      <c r="S22" s="67"/>
    </row>
    <row r="23" spans="1:19" s="457" customFormat="1" ht="17.25" thickTop="1" thickBot="1">
      <c r="A23" s="718" t="s">
        <v>116</v>
      </c>
      <c r="B23" s="852"/>
      <c r="C23" s="719">
        <f ca="1">C20+C15+C22</f>
        <v>205162.01302140139</v>
      </c>
      <c r="D23" s="719">
        <f t="shared" ref="D23:Q23" ca="1" si="2">D20+D15+D22</f>
        <v>81</v>
      </c>
      <c r="E23" s="719">
        <f t="shared" ca="1" si="2"/>
        <v>205672.72030279582</v>
      </c>
      <c r="F23" s="719">
        <f t="shared" si="2"/>
        <v>10951.259695802308</v>
      </c>
      <c r="G23" s="719">
        <f t="shared" ca="1" si="2"/>
        <v>113033.12690503785</v>
      </c>
      <c r="H23" s="719">
        <f t="shared" si="2"/>
        <v>134262.69160293412</v>
      </c>
      <c r="I23" s="719">
        <f t="shared" si="2"/>
        <v>24690.113435517887</v>
      </c>
      <c r="J23" s="719">
        <f t="shared" si="2"/>
        <v>0</v>
      </c>
      <c r="K23" s="719">
        <f t="shared" si="2"/>
        <v>1456.6147965727662</v>
      </c>
      <c r="L23" s="719">
        <f t="shared" si="2"/>
        <v>0</v>
      </c>
      <c r="M23" s="719">
        <f t="shared" ca="1" si="2"/>
        <v>0</v>
      </c>
      <c r="N23" s="719">
        <f t="shared" si="2"/>
        <v>6938.3182943269985</v>
      </c>
      <c r="O23" s="719">
        <f t="shared" ca="1" si="2"/>
        <v>29253.360879861921</v>
      </c>
      <c r="P23" s="719">
        <f t="shared" si="2"/>
        <v>206.36000000000004</v>
      </c>
      <c r="Q23" s="720">
        <f t="shared" si="2"/>
        <v>724.5333333333333</v>
      </c>
      <c r="R23" s="721">
        <f ca="1">R20+R15+R22</f>
        <v>732432.11226758431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8979.4402245016499</v>
      </c>
      <c r="D36" s="702">
        <f ca="1">tertiair!C20</f>
        <v>19.249411764705886</v>
      </c>
      <c r="E36" s="702">
        <f ca="1">tertiair!D20</f>
        <v>9237.4108842704027</v>
      </c>
      <c r="F36" s="702">
        <f>tertiair!E20</f>
        <v>150.24446194910806</v>
      </c>
      <c r="G36" s="702">
        <f ca="1">tertiair!F20</f>
        <v>2072.9388383215392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20459.283820807403</v>
      </c>
    </row>
    <row r="37" spans="1:18">
      <c r="A37" s="873" t="s">
        <v>226</v>
      </c>
      <c r="B37" s="880"/>
      <c r="C37" s="702">
        <f ca="1">huishoudens!B12</f>
        <v>15847.040125672143</v>
      </c>
      <c r="D37" s="702">
        <f ca="1">huishoudens!C12</f>
        <v>0</v>
      </c>
      <c r="E37" s="702">
        <f>huishoudens!D12</f>
        <v>18664.609493244516</v>
      </c>
      <c r="F37" s="702">
        <f>huishoudens!E12</f>
        <v>2012.9069419395939</v>
      </c>
      <c r="G37" s="702">
        <f>huishoudens!F12</f>
        <v>17119.303472362364</v>
      </c>
      <c r="H37" s="702">
        <f>huishoudens!G12</f>
        <v>0</v>
      </c>
      <c r="I37" s="702">
        <f>huishoudens!H12</f>
        <v>0</v>
      </c>
      <c r="J37" s="702">
        <f>huishoudens!I12</f>
        <v>0</v>
      </c>
      <c r="K37" s="702">
        <f>huishoudens!J12</f>
        <v>254.88701407606598</v>
      </c>
      <c r="L37" s="702">
        <f>huishoudens!K12</f>
        <v>0</v>
      </c>
      <c r="M37" s="702">
        <f>huishoudens!L12</f>
        <v>0</v>
      </c>
      <c r="N37" s="702">
        <f>huishoudens!M12</f>
        <v>0</v>
      </c>
      <c r="O37" s="702">
        <f>huishoudens!N12</f>
        <v>0</v>
      </c>
      <c r="P37" s="702">
        <f>huishoudens!O12</f>
        <v>0</v>
      </c>
      <c r="Q37" s="812">
        <f>huishoudens!P12</f>
        <v>0</v>
      </c>
      <c r="R37" s="905">
        <f ca="1">SUM(C37:Q37)</f>
        <v>53898.747047294681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18185.354444928846</v>
      </c>
      <c r="D39" s="702">
        <f ca="1">industrie!C22</f>
        <v>0</v>
      </c>
      <c r="E39" s="702">
        <f>industrie!D22</f>
        <v>11576.23564546413</v>
      </c>
      <c r="F39" s="702">
        <f>industrie!E22</f>
        <v>140.37683547256913</v>
      </c>
      <c r="G39" s="702">
        <f>industrie!F22</f>
        <v>3675.3998981749605</v>
      </c>
      <c r="H39" s="702">
        <f>industrie!G22</f>
        <v>0</v>
      </c>
      <c r="I39" s="702">
        <f>industrie!H22</f>
        <v>0</v>
      </c>
      <c r="J39" s="702">
        <f>industrie!I22</f>
        <v>0</v>
      </c>
      <c r="K39" s="702">
        <f>industrie!J22</f>
        <v>92.178218230755462</v>
      </c>
      <c r="L39" s="702">
        <f>industrie!K22</f>
        <v>0</v>
      </c>
      <c r="M39" s="702">
        <f>industrie!L22</f>
        <v>0</v>
      </c>
      <c r="N39" s="702">
        <f>industrie!M22</f>
        <v>0</v>
      </c>
      <c r="O39" s="702">
        <f>industrie!N22</f>
        <v>0</v>
      </c>
      <c r="P39" s="702">
        <f>industrie!O22</f>
        <v>0</v>
      </c>
      <c r="Q39" s="812">
        <f>industrie!P22</f>
        <v>0</v>
      </c>
      <c r="R39" s="906">
        <f ca="1">SUM(C39:Q39)</f>
        <v>33669.54504227126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43011.834795102637</v>
      </c>
      <c r="D41" s="747">
        <f t="shared" ref="D41:R41" ca="1" si="4">SUM(D35:D40)</f>
        <v>19.249411764705886</v>
      </c>
      <c r="E41" s="747">
        <f t="shared" ca="1" si="4"/>
        <v>39478.256022979054</v>
      </c>
      <c r="F41" s="747">
        <f t="shared" si="4"/>
        <v>2303.5282393612711</v>
      </c>
      <c r="G41" s="747">
        <f t="shared" ca="1" si="4"/>
        <v>22867.642208858866</v>
      </c>
      <c r="H41" s="747">
        <f t="shared" si="4"/>
        <v>0</v>
      </c>
      <c r="I41" s="747">
        <f t="shared" si="4"/>
        <v>0</v>
      </c>
      <c r="J41" s="747">
        <f t="shared" si="4"/>
        <v>0</v>
      </c>
      <c r="K41" s="747">
        <f t="shared" si="4"/>
        <v>347.06523230682143</v>
      </c>
      <c r="L41" s="747">
        <f t="shared" si="4"/>
        <v>0</v>
      </c>
      <c r="M41" s="747">
        <f t="shared" ca="1" si="4"/>
        <v>0</v>
      </c>
      <c r="N41" s="747">
        <f t="shared" si="4"/>
        <v>0</v>
      </c>
      <c r="O41" s="747">
        <f t="shared" ca="1" si="4"/>
        <v>0</v>
      </c>
      <c r="P41" s="747">
        <f t="shared" si="4"/>
        <v>0</v>
      </c>
      <c r="Q41" s="748">
        <f t="shared" si="4"/>
        <v>0</v>
      </c>
      <c r="R41" s="749">
        <f t="shared" ca="1" si="4"/>
        <v>108027.57591037334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230.02324175828727</v>
      </c>
      <c r="D44" s="702">
        <f ca="1">transport!C58</f>
        <v>0</v>
      </c>
      <c r="E44" s="702">
        <f>transport!D58</f>
        <v>0</v>
      </c>
      <c r="F44" s="702">
        <f>transport!E58</f>
        <v>0</v>
      </c>
      <c r="G44" s="702">
        <f>transport!F58</f>
        <v>0</v>
      </c>
      <c r="H44" s="702">
        <f>transport!G58</f>
        <v>836.45509663787152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1066.4783383961587</v>
      </c>
    </row>
    <row r="45" spans="1:18" ht="15" thickBot="1">
      <c r="A45" s="876" t="s">
        <v>308</v>
      </c>
      <c r="B45" s="886"/>
      <c r="C45" s="711">
        <f ca="1">transport!B18</f>
        <v>0.30172948202286748</v>
      </c>
      <c r="D45" s="711">
        <f>transport!C18</f>
        <v>0</v>
      </c>
      <c r="E45" s="711">
        <f>transport!D18</f>
        <v>1.5097323359900858</v>
      </c>
      <c r="F45" s="711">
        <f>transport!E18</f>
        <v>169.7322743454443</v>
      </c>
      <c r="G45" s="711">
        <f>transport!F18</f>
        <v>0</v>
      </c>
      <c r="H45" s="711">
        <f>transport!G18</f>
        <v>35011.683561345541</v>
      </c>
      <c r="I45" s="711">
        <f>transport!H18</f>
        <v>6147.8382454439543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41331.065542952951</v>
      </c>
    </row>
    <row r="46" spans="1:18" ht="15.75" thickBot="1">
      <c r="A46" s="874" t="s">
        <v>231</v>
      </c>
      <c r="B46" s="887"/>
      <c r="C46" s="747">
        <f t="shared" ref="C46:R46" ca="1" si="5">SUM(C43:C45)</f>
        <v>230.32497124031013</v>
      </c>
      <c r="D46" s="747">
        <f t="shared" ca="1" si="5"/>
        <v>0</v>
      </c>
      <c r="E46" s="747">
        <f t="shared" si="5"/>
        <v>1.5097323359900858</v>
      </c>
      <c r="F46" s="747">
        <f t="shared" si="5"/>
        <v>169.7322743454443</v>
      </c>
      <c r="G46" s="747">
        <f t="shared" si="5"/>
        <v>0</v>
      </c>
      <c r="H46" s="747">
        <f t="shared" si="5"/>
        <v>35848.138657983414</v>
      </c>
      <c r="I46" s="747">
        <f t="shared" si="5"/>
        <v>6147.8382454439543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42397.543881349113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1153.8393961244474</v>
      </c>
      <c r="D48" s="702">
        <f ca="1">+landbouw!C12</f>
        <v>0</v>
      </c>
      <c r="E48" s="702">
        <f>+landbouw!D12</f>
        <v>2066.1237458497249</v>
      </c>
      <c r="F48" s="702">
        <f>+landbouw!E12</f>
        <v>12.675437240408808</v>
      </c>
      <c r="G48" s="702">
        <f>+landbouw!F12</f>
        <v>7312.202674786241</v>
      </c>
      <c r="H48" s="702">
        <f>+landbouw!G12</f>
        <v>0</v>
      </c>
      <c r="I48" s="702">
        <f>+landbouw!H12</f>
        <v>0</v>
      </c>
      <c r="J48" s="702">
        <f>+landbouw!I12</f>
        <v>0</v>
      </c>
      <c r="K48" s="702">
        <f>+landbouw!J12</f>
        <v>168.57640567993775</v>
      </c>
      <c r="L48" s="702">
        <f>+landbouw!K12</f>
        <v>0</v>
      </c>
      <c r="M48" s="702">
        <f>+landbouw!L12</f>
        <v>0</v>
      </c>
      <c r="N48" s="702">
        <f>+landbouw!M12</f>
        <v>0</v>
      </c>
      <c r="O48" s="702">
        <f>+landbouw!N12</f>
        <v>0</v>
      </c>
      <c r="P48" s="702">
        <f>+landbouw!O12</f>
        <v>0</v>
      </c>
      <c r="Q48" s="703">
        <f>+landbouw!P12</f>
        <v>0</v>
      </c>
      <c r="R48" s="745">
        <f ca="1">SUM(C48:Q48)</f>
        <v>10713.417659680759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44395.9991624674</v>
      </c>
      <c r="D53" s="757">
        <f t="shared" ref="D53:Q53" ca="1" si="6">D41+D46+D48</f>
        <v>19.249411764705886</v>
      </c>
      <c r="E53" s="757">
        <f t="shared" ca="1" si="6"/>
        <v>41545.889501164769</v>
      </c>
      <c r="F53" s="757">
        <f t="shared" si="6"/>
        <v>2485.9359509471242</v>
      </c>
      <c r="G53" s="757">
        <f t="shared" ca="1" si="6"/>
        <v>30179.844883645106</v>
      </c>
      <c r="H53" s="757">
        <f t="shared" si="6"/>
        <v>35848.138657983414</v>
      </c>
      <c r="I53" s="757">
        <f t="shared" si="6"/>
        <v>6147.8382454439543</v>
      </c>
      <c r="J53" s="757">
        <f t="shared" si="6"/>
        <v>0</v>
      </c>
      <c r="K53" s="757">
        <f t="shared" si="6"/>
        <v>515.64163798675918</v>
      </c>
      <c r="L53" s="757">
        <f t="shared" si="6"/>
        <v>0</v>
      </c>
      <c r="M53" s="757">
        <f t="shared" ca="1" si="6"/>
        <v>0</v>
      </c>
      <c r="N53" s="757">
        <f t="shared" si="6"/>
        <v>0</v>
      </c>
      <c r="O53" s="757">
        <f t="shared" ca="1" si="6"/>
        <v>0</v>
      </c>
      <c r="P53" s="757">
        <f>P41+P46+P48</f>
        <v>0</v>
      </c>
      <c r="Q53" s="758">
        <f t="shared" si="6"/>
        <v>0</v>
      </c>
      <c r="R53" s="759">
        <f ca="1">R41+R46+R48</f>
        <v>161138.53745140322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0.21639483113200031</v>
      </c>
      <c r="D55" s="823">
        <f t="shared" ca="1" si="7"/>
        <v>0.23764705882352946</v>
      </c>
      <c r="E55" s="823">
        <f t="shared" ca="1" si="7"/>
        <v>0.20200000000000007</v>
      </c>
      <c r="F55" s="823">
        <f t="shared" si="7"/>
        <v>0.22700000000000004</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4279.4099705773915</v>
      </c>
      <c r="C66" s="779">
        <f>'lokale energieproductie'!B6</f>
        <v>4279.4099705773915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56.7</v>
      </c>
      <c r="C67" s="778">
        <f>B67*IFERROR(SUM(J67:L67)/SUM(D67:M67),0)</f>
        <v>0</v>
      </c>
      <c r="D67" s="810">
        <f>'lokale energieproductie'!C7</f>
        <v>66.705882352941188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13.474588235294121</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4336.1099705773913</v>
      </c>
      <c r="C69" s="787">
        <f>SUM(C64:C68)</f>
        <v>4279.4099705773915</v>
      </c>
      <c r="D69" s="788">
        <f t="shared" ref="D69:M69" si="8">SUM(D67:D68)</f>
        <v>66.705882352941188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13.474588235294121</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81</v>
      </c>
      <c r="C78" s="801">
        <f>B78*IFERROR(SUM(I78:L78)/SUM(D78:M78),0)</f>
        <v>0</v>
      </c>
      <c r="D78" s="816">
        <f>'lokale energieproductie'!C16</f>
        <v>95.29411764705884</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19.249411764705886</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81</v>
      </c>
      <c r="C81" s="787">
        <f>SUM(C78:C80)</f>
        <v>0</v>
      </c>
      <c r="D81" s="787">
        <f t="shared" ref="D81:P81" si="9">SUM(D78:D80)</f>
        <v>95.29411764705884</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19.249411764705886</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73232.06401360617</v>
      </c>
      <c r="C4" s="461">
        <f>huishoudens!C8</f>
        <v>0</v>
      </c>
      <c r="D4" s="461">
        <f>huishoudens!D8</f>
        <v>92399.056897250077</v>
      </c>
      <c r="E4" s="461">
        <f>huishoudens!E8</f>
        <v>8867.4314622889597</v>
      </c>
      <c r="F4" s="461">
        <f>huishoudens!F8</f>
        <v>64117.241469521956</v>
      </c>
      <c r="G4" s="461">
        <f>huishoudens!G8</f>
        <v>0</v>
      </c>
      <c r="H4" s="461">
        <f>huishoudens!H8</f>
        <v>0</v>
      </c>
      <c r="I4" s="461">
        <f>huishoudens!I8</f>
        <v>0</v>
      </c>
      <c r="J4" s="461">
        <f>huishoudens!J8</f>
        <v>720.0198137741977</v>
      </c>
      <c r="K4" s="461">
        <f>huishoudens!K8</f>
        <v>0</v>
      </c>
      <c r="L4" s="461">
        <f>huishoudens!L8</f>
        <v>0</v>
      </c>
      <c r="M4" s="461">
        <f>huishoudens!M8</f>
        <v>0</v>
      </c>
      <c r="N4" s="461">
        <f>huishoudens!N8</f>
        <v>26075.401488699456</v>
      </c>
      <c r="O4" s="461">
        <f>huishoudens!O8</f>
        <v>201.67000000000004</v>
      </c>
      <c r="P4" s="462">
        <f>huishoudens!P8</f>
        <v>648.26666666666665</v>
      </c>
      <c r="Q4" s="463">
        <f>SUM(B4:P4)</f>
        <v>266261.15181180742</v>
      </c>
    </row>
    <row r="5" spans="1:17">
      <c r="A5" s="460" t="s">
        <v>156</v>
      </c>
      <c r="B5" s="461">
        <f ca="1">tertiair!B16</f>
        <v>39134.586746509754</v>
      </c>
      <c r="C5" s="461">
        <f ca="1">tertiair!C16</f>
        <v>81</v>
      </c>
      <c r="D5" s="461">
        <f ca="1">tertiair!D16</f>
        <v>45729.756852823775</v>
      </c>
      <c r="E5" s="461">
        <f>tertiair!E16</f>
        <v>661.86987642778877</v>
      </c>
      <c r="F5" s="461">
        <f ca="1">tertiair!F16</f>
        <v>7763.815873863442</v>
      </c>
      <c r="G5" s="461">
        <f>tertiair!G16</f>
        <v>0</v>
      </c>
      <c r="H5" s="461">
        <f>tertiair!H16</f>
        <v>0</v>
      </c>
      <c r="I5" s="461">
        <f>tertiair!I16</f>
        <v>0</v>
      </c>
      <c r="J5" s="461">
        <f>tertiair!J16</f>
        <v>0</v>
      </c>
      <c r="K5" s="461">
        <f>tertiair!K16</f>
        <v>0</v>
      </c>
      <c r="L5" s="461">
        <f ca="1">tertiair!L16</f>
        <v>0</v>
      </c>
      <c r="M5" s="461">
        <f>tertiair!M16</f>
        <v>0</v>
      </c>
      <c r="N5" s="461">
        <f ca="1">tertiair!N16</f>
        <v>1758.0994241926833</v>
      </c>
      <c r="O5" s="461">
        <f>tertiair!O16</f>
        <v>4.6900000000000004</v>
      </c>
      <c r="P5" s="462">
        <f>tertiair!P16</f>
        <v>76.266666666666666</v>
      </c>
      <c r="Q5" s="460">
        <f t="shared" ref="Q5:Q13" ca="1" si="0">SUM(B5:P5)</f>
        <v>95210.085440484108</v>
      </c>
    </row>
    <row r="6" spans="1:17">
      <c r="A6" s="460" t="s">
        <v>195</v>
      </c>
      <c r="B6" s="461">
        <f>'openbare verlichting'!B8</f>
        <v>2361.0450000000001</v>
      </c>
      <c r="C6" s="461"/>
      <c r="D6" s="461"/>
      <c r="E6" s="461"/>
      <c r="F6" s="461"/>
      <c r="G6" s="461"/>
      <c r="H6" s="461"/>
      <c r="I6" s="461"/>
      <c r="J6" s="461"/>
      <c r="K6" s="461"/>
      <c r="L6" s="461"/>
      <c r="M6" s="461"/>
      <c r="N6" s="461"/>
      <c r="O6" s="461"/>
      <c r="P6" s="462"/>
      <c r="Q6" s="460">
        <f t="shared" si="0"/>
        <v>2361.0450000000001</v>
      </c>
    </row>
    <row r="7" spans="1:17">
      <c r="A7" s="460" t="s">
        <v>112</v>
      </c>
      <c r="B7" s="461">
        <f>landbouw!B8</f>
        <v>5332.1023893616393</v>
      </c>
      <c r="C7" s="461">
        <f>landbouw!C8</f>
        <v>0</v>
      </c>
      <c r="D7" s="461">
        <f>landbouw!D8</f>
        <v>10228.335375493687</v>
      </c>
      <c r="E7" s="461">
        <f>landbouw!E8</f>
        <v>55.838930574488138</v>
      </c>
      <c r="F7" s="461">
        <f>landbouw!F8</f>
        <v>27386.526871858579</v>
      </c>
      <c r="G7" s="461">
        <f>landbouw!G8</f>
        <v>0</v>
      </c>
      <c r="H7" s="461">
        <f>landbouw!H8</f>
        <v>0</v>
      </c>
      <c r="I7" s="461">
        <f>landbouw!I8</f>
        <v>0</v>
      </c>
      <c r="J7" s="461">
        <f>landbouw!J8</f>
        <v>476.20453581903325</v>
      </c>
      <c r="K7" s="461">
        <f>landbouw!K8</f>
        <v>0</v>
      </c>
      <c r="L7" s="461">
        <f>landbouw!L8</f>
        <v>0</v>
      </c>
      <c r="M7" s="461">
        <f>landbouw!M8</f>
        <v>0</v>
      </c>
      <c r="N7" s="461">
        <f>landbouw!N8</f>
        <v>0</v>
      </c>
      <c r="O7" s="461">
        <f>landbouw!O8</f>
        <v>0</v>
      </c>
      <c r="P7" s="462">
        <f>landbouw!P8</f>
        <v>0</v>
      </c>
      <c r="Q7" s="460">
        <f t="shared" si="0"/>
        <v>43479.008103107422</v>
      </c>
    </row>
    <row r="8" spans="1:17">
      <c r="A8" s="460" t="s">
        <v>656</v>
      </c>
      <c r="B8" s="461">
        <f>industrie!B18</f>
        <v>84037.841152665176</v>
      </c>
      <c r="C8" s="461">
        <f>industrie!C18</f>
        <v>0</v>
      </c>
      <c r="D8" s="461">
        <f>industrie!D18</f>
        <v>57308.097254772918</v>
      </c>
      <c r="E8" s="461">
        <f>industrie!E18</f>
        <v>618.4001562668243</v>
      </c>
      <c r="F8" s="461">
        <f>industrie!F18</f>
        <v>13765.54268979386</v>
      </c>
      <c r="G8" s="461">
        <f>industrie!G18</f>
        <v>0</v>
      </c>
      <c r="H8" s="461">
        <f>industrie!H18</f>
        <v>0</v>
      </c>
      <c r="I8" s="461">
        <f>industrie!I18</f>
        <v>0</v>
      </c>
      <c r="J8" s="461">
        <f>industrie!J18</f>
        <v>260.39044697953523</v>
      </c>
      <c r="K8" s="461">
        <f>industrie!K18</f>
        <v>0</v>
      </c>
      <c r="L8" s="461">
        <f>industrie!L18</f>
        <v>0</v>
      </c>
      <c r="M8" s="461">
        <f>industrie!M18</f>
        <v>0</v>
      </c>
      <c r="N8" s="461">
        <f>industrie!N18</f>
        <v>1419.8599669697828</v>
      </c>
      <c r="O8" s="461">
        <f>industrie!O18</f>
        <v>0</v>
      </c>
      <c r="P8" s="462">
        <f>industrie!P18</f>
        <v>0</v>
      </c>
      <c r="Q8" s="460">
        <f t="shared" si="0"/>
        <v>157410.13166744809</v>
      </c>
    </row>
    <row r="9" spans="1:17" s="466" customFormat="1">
      <c r="A9" s="464" t="s">
        <v>574</v>
      </c>
      <c r="B9" s="465">
        <f>transport!B14</f>
        <v>1.3943469926913978</v>
      </c>
      <c r="C9" s="465">
        <f>transport!C14</f>
        <v>0</v>
      </c>
      <c r="D9" s="465">
        <f>transport!D14</f>
        <v>7.4739224553964636</v>
      </c>
      <c r="E9" s="465">
        <f>transport!E14</f>
        <v>747.71927024424804</v>
      </c>
      <c r="F9" s="465">
        <f>transport!F14</f>
        <v>0</v>
      </c>
      <c r="G9" s="465">
        <f>transport!G14</f>
        <v>131129.90097882223</v>
      </c>
      <c r="H9" s="465">
        <f>transport!H14</f>
        <v>24690.113435517887</v>
      </c>
      <c r="I9" s="465">
        <f>transport!I14</f>
        <v>0</v>
      </c>
      <c r="J9" s="465">
        <f>transport!J14</f>
        <v>0</v>
      </c>
      <c r="K9" s="465">
        <f>transport!K14</f>
        <v>0</v>
      </c>
      <c r="L9" s="465">
        <f>transport!L14</f>
        <v>0</v>
      </c>
      <c r="M9" s="465">
        <f>transport!M14</f>
        <v>6804.7810403565645</v>
      </c>
      <c r="N9" s="465">
        <f>transport!N14</f>
        <v>0</v>
      </c>
      <c r="O9" s="465">
        <f>transport!O14</f>
        <v>0</v>
      </c>
      <c r="P9" s="465">
        <f>transport!P14</f>
        <v>0</v>
      </c>
      <c r="Q9" s="464">
        <f>SUM(B9:P9)</f>
        <v>163381.38299438899</v>
      </c>
    </row>
    <row r="10" spans="1:17">
      <c r="A10" s="460" t="s">
        <v>564</v>
      </c>
      <c r="B10" s="461">
        <f>transport!B54</f>
        <v>1062.9793722659376</v>
      </c>
      <c r="C10" s="461">
        <f>transport!C54</f>
        <v>0</v>
      </c>
      <c r="D10" s="461">
        <f>transport!D54</f>
        <v>0</v>
      </c>
      <c r="E10" s="461">
        <f>transport!E54</f>
        <v>0</v>
      </c>
      <c r="F10" s="461">
        <f>transport!F54</f>
        <v>0</v>
      </c>
      <c r="G10" s="461">
        <f>transport!G54</f>
        <v>3132.7906241118781</v>
      </c>
      <c r="H10" s="461">
        <f>transport!H54</f>
        <v>0</v>
      </c>
      <c r="I10" s="461">
        <f>transport!I54</f>
        <v>0</v>
      </c>
      <c r="J10" s="461">
        <f>transport!J54</f>
        <v>0</v>
      </c>
      <c r="K10" s="461">
        <f>transport!K54</f>
        <v>0</v>
      </c>
      <c r="L10" s="461">
        <f>transport!L54</f>
        <v>0</v>
      </c>
      <c r="M10" s="461">
        <f>transport!M54</f>
        <v>133.53725397043419</v>
      </c>
      <c r="N10" s="461">
        <f>transport!N54</f>
        <v>0</v>
      </c>
      <c r="O10" s="461">
        <f>transport!O54</f>
        <v>0</v>
      </c>
      <c r="P10" s="462">
        <f>transport!P54</f>
        <v>0</v>
      </c>
      <c r="Q10" s="460">
        <f t="shared" si="0"/>
        <v>4329.3072503482499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205162.01302140133</v>
      </c>
      <c r="C14" s="471">
        <f t="shared" ref="C14:Q14" ca="1" si="1">SUM(C4:C13)</f>
        <v>81</v>
      </c>
      <c r="D14" s="471">
        <f t="shared" ca="1" si="1"/>
        <v>205672.72030279582</v>
      </c>
      <c r="E14" s="471">
        <f t="shared" si="1"/>
        <v>10951.259695802308</v>
      </c>
      <c r="F14" s="471">
        <f t="shared" ca="1" si="1"/>
        <v>113033.12690503785</v>
      </c>
      <c r="G14" s="471">
        <f t="shared" si="1"/>
        <v>134262.69160293412</v>
      </c>
      <c r="H14" s="471">
        <f t="shared" si="1"/>
        <v>24690.113435517887</v>
      </c>
      <c r="I14" s="471">
        <f t="shared" si="1"/>
        <v>0</v>
      </c>
      <c r="J14" s="471">
        <f t="shared" si="1"/>
        <v>1456.6147965727662</v>
      </c>
      <c r="K14" s="471">
        <f t="shared" si="1"/>
        <v>0</v>
      </c>
      <c r="L14" s="471">
        <f t="shared" ca="1" si="1"/>
        <v>0</v>
      </c>
      <c r="M14" s="471">
        <f t="shared" si="1"/>
        <v>6938.3182943269985</v>
      </c>
      <c r="N14" s="471">
        <f t="shared" ca="1" si="1"/>
        <v>29253.360879861921</v>
      </c>
      <c r="O14" s="471">
        <f t="shared" si="1"/>
        <v>206.36000000000004</v>
      </c>
      <c r="P14" s="472">
        <f t="shared" si="1"/>
        <v>724.5333333333333</v>
      </c>
      <c r="Q14" s="472">
        <f t="shared" ca="1" si="1"/>
        <v>732432.11226758419</v>
      </c>
    </row>
    <row r="16" spans="1:17">
      <c r="A16" s="474" t="s">
        <v>569</v>
      </c>
      <c r="B16" s="828">
        <f ca="1">huishoudens!B10</f>
        <v>0.21639483113200031</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15847.040125672143</v>
      </c>
      <c r="C21" s="461">
        <f t="shared" ref="C21:C30" ca="1" si="3">C4*$C$16</f>
        <v>0</v>
      </c>
      <c r="D21" s="461">
        <f t="shared" ref="D21:D30" si="4">D4*$D$16</f>
        <v>18664.609493244516</v>
      </c>
      <c r="E21" s="461">
        <f t="shared" ref="E21:E30" si="5">E4*$E$16</f>
        <v>2012.9069419395939</v>
      </c>
      <c r="F21" s="461">
        <f t="shared" ref="F21:F30" si="6">F4*$F$16</f>
        <v>17119.303472362364</v>
      </c>
      <c r="G21" s="461">
        <f t="shared" ref="G21:G30" si="7">G4*$G$16</f>
        <v>0</v>
      </c>
      <c r="H21" s="461">
        <f t="shared" ref="H21:H30" si="8">H4*$H$16</f>
        <v>0</v>
      </c>
      <c r="I21" s="461">
        <f t="shared" ref="I21:I30" si="9">I4*$I$16</f>
        <v>0</v>
      </c>
      <c r="J21" s="461">
        <f t="shared" ref="J21:J30" si="10">J4*$J$16</f>
        <v>254.88701407606598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53898.747047294681</v>
      </c>
    </row>
    <row r="22" spans="1:17">
      <c r="A22" s="460" t="s">
        <v>156</v>
      </c>
      <c r="B22" s="461">
        <f t="shared" ca="1" si="2"/>
        <v>8468.522290431596</v>
      </c>
      <c r="C22" s="461">
        <f t="shared" ca="1" si="3"/>
        <v>19.249411764705886</v>
      </c>
      <c r="D22" s="461">
        <f t="shared" ca="1" si="4"/>
        <v>9237.4108842704027</v>
      </c>
      <c r="E22" s="461">
        <f t="shared" si="5"/>
        <v>150.24446194910806</v>
      </c>
      <c r="F22" s="461">
        <f t="shared" ca="1" si="6"/>
        <v>2072.9388383215392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19948.365886737352</v>
      </c>
    </row>
    <row r="23" spans="1:17">
      <c r="A23" s="460" t="s">
        <v>195</v>
      </c>
      <c r="B23" s="461">
        <f t="shared" ca="1" si="2"/>
        <v>510.91793407005366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510.91793407005366</v>
      </c>
    </row>
    <row r="24" spans="1:17">
      <c r="A24" s="460" t="s">
        <v>112</v>
      </c>
      <c r="B24" s="461">
        <f t="shared" ca="1" si="2"/>
        <v>1153.8393961244474</v>
      </c>
      <c r="C24" s="461">
        <f t="shared" ca="1" si="3"/>
        <v>0</v>
      </c>
      <c r="D24" s="461">
        <f t="shared" si="4"/>
        <v>2066.1237458497249</v>
      </c>
      <c r="E24" s="461">
        <f t="shared" si="5"/>
        <v>12.675437240408808</v>
      </c>
      <c r="F24" s="461">
        <f t="shared" si="6"/>
        <v>7312.202674786241</v>
      </c>
      <c r="G24" s="461">
        <f t="shared" si="7"/>
        <v>0</v>
      </c>
      <c r="H24" s="461">
        <f t="shared" si="8"/>
        <v>0</v>
      </c>
      <c r="I24" s="461">
        <f t="shared" si="9"/>
        <v>0</v>
      </c>
      <c r="J24" s="461">
        <f t="shared" si="10"/>
        <v>168.57640567993775</v>
      </c>
      <c r="K24" s="461">
        <f t="shared" si="11"/>
        <v>0</v>
      </c>
      <c r="L24" s="461">
        <f t="shared" si="12"/>
        <v>0</v>
      </c>
      <c r="M24" s="461">
        <f t="shared" si="13"/>
        <v>0</v>
      </c>
      <c r="N24" s="461">
        <f t="shared" si="14"/>
        <v>0</v>
      </c>
      <c r="O24" s="461">
        <f t="shared" si="15"/>
        <v>0</v>
      </c>
      <c r="P24" s="462">
        <f t="shared" si="16"/>
        <v>0</v>
      </c>
      <c r="Q24" s="460">
        <f t="shared" ca="1" si="17"/>
        <v>10713.417659680759</v>
      </c>
    </row>
    <row r="25" spans="1:17">
      <c r="A25" s="460" t="s">
        <v>656</v>
      </c>
      <c r="B25" s="461">
        <f t="shared" ca="1" si="2"/>
        <v>18185.354444928846</v>
      </c>
      <c r="C25" s="461">
        <f t="shared" ca="1" si="3"/>
        <v>0</v>
      </c>
      <c r="D25" s="461">
        <f t="shared" si="4"/>
        <v>11576.23564546413</v>
      </c>
      <c r="E25" s="461">
        <f t="shared" si="5"/>
        <v>140.37683547256913</v>
      </c>
      <c r="F25" s="461">
        <f t="shared" si="6"/>
        <v>3675.3998981749605</v>
      </c>
      <c r="G25" s="461">
        <f t="shared" si="7"/>
        <v>0</v>
      </c>
      <c r="H25" s="461">
        <f t="shared" si="8"/>
        <v>0</v>
      </c>
      <c r="I25" s="461">
        <f t="shared" si="9"/>
        <v>0</v>
      </c>
      <c r="J25" s="461">
        <f t="shared" si="10"/>
        <v>92.178218230755462</v>
      </c>
      <c r="K25" s="461">
        <f t="shared" si="11"/>
        <v>0</v>
      </c>
      <c r="L25" s="461">
        <f t="shared" si="12"/>
        <v>0</v>
      </c>
      <c r="M25" s="461">
        <f t="shared" si="13"/>
        <v>0</v>
      </c>
      <c r="N25" s="461">
        <f t="shared" si="14"/>
        <v>0</v>
      </c>
      <c r="O25" s="461">
        <f t="shared" si="15"/>
        <v>0</v>
      </c>
      <c r="P25" s="462">
        <f t="shared" si="16"/>
        <v>0</v>
      </c>
      <c r="Q25" s="460">
        <f t="shared" ca="1" si="17"/>
        <v>33669.54504227126</v>
      </c>
    </row>
    <row r="26" spans="1:17" s="466" customFormat="1">
      <c r="A26" s="464" t="s">
        <v>574</v>
      </c>
      <c r="B26" s="822">
        <f t="shared" ca="1" si="2"/>
        <v>0.30172948202286748</v>
      </c>
      <c r="C26" s="465">
        <f t="shared" ca="1" si="3"/>
        <v>0</v>
      </c>
      <c r="D26" s="465">
        <f t="shared" si="4"/>
        <v>1.5097323359900858</v>
      </c>
      <c r="E26" s="465">
        <f t="shared" si="5"/>
        <v>169.7322743454443</v>
      </c>
      <c r="F26" s="465">
        <f t="shared" si="6"/>
        <v>0</v>
      </c>
      <c r="G26" s="465">
        <f t="shared" si="7"/>
        <v>35011.683561345541</v>
      </c>
      <c r="H26" s="465">
        <f t="shared" si="8"/>
        <v>6147.8382454439543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41331.065542952951</v>
      </c>
    </row>
    <row r="27" spans="1:17">
      <c r="A27" s="460" t="s">
        <v>564</v>
      </c>
      <c r="B27" s="461">
        <f t="shared" ca="1" si="2"/>
        <v>230.02324175828727</v>
      </c>
      <c r="C27" s="461">
        <f t="shared" ca="1" si="3"/>
        <v>0</v>
      </c>
      <c r="D27" s="461">
        <f t="shared" si="4"/>
        <v>0</v>
      </c>
      <c r="E27" s="461">
        <f t="shared" si="5"/>
        <v>0</v>
      </c>
      <c r="F27" s="461">
        <f t="shared" si="6"/>
        <v>0</v>
      </c>
      <c r="G27" s="461">
        <f t="shared" si="7"/>
        <v>836.45509663787152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1066.4783383961587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44395.9991624674</v>
      </c>
      <c r="C31" s="471">
        <f t="shared" ca="1" si="18"/>
        <v>19.249411764705886</v>
      </c>
      <c r="D31" s="471">
        <f t="shared" ca="1" si="18"/>
        <v>41545.889501164762</v>
      </c>
      <c r="E31" s="471">
        <f t="shared" si="18"/>
        <v>2485.9359509471242</v>
      </c>
      <c r="F31" s="471">
        <f t="shared" ca="1" si="18"/>
        <v>30179.844883645106</v>
      </c>
      <c r="G31" s="471">
        <f t="shared" si="18"/>
        <v>35848.138657983414</v>
      </c>
      <c r="H31" s="471">
        <f t="shared" si="18"/>
        <v>6147.8382454439543</v>
      </c>
      <c r="I31" s="471">
        <f t="shared" si="18"/>
        <v>0</v>
      </c>
      <c r="J31" s="471">
        <f t="shared" si="18"/>
        <v>515.64163798675918</v>
      </c>
      <c r="K31" s="471">
        <f t="shared" si="18"/>
        <v>0</v>
      </c>
      <c r="L31" s="471">
        <f t="shared" ca="1" si="18"/>
        <v>0</v>
      </c>
      <c r="M31" s="471">
        <f t="shared" si="18"/>
        <v>0</v>
      </c>
      <c r="N31" s="471">
        <f t="shared" ca="1" si="18"/>
        <v>0</v>
      </c>
      <c r="O31" s="471">
        <f t="shared" si="18"/>
        <v>0</v>
      </c>
      <c r="P31" s="472">
        <f t="shared" si="18"/>
        <v>0</v>
      </c>
      <c r="Q31" s="472">
        <f t="shared" ca="1" si="18"/>
        <v>161138.53745140319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0.21639483113200031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0.21639483113200031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0.21639483113200031</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2018-06-27T09:02:27Z</dcterms:modified>
</cp:coreProperties>
</file>