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C16" i="16" s="1"/>
  <c r="N89" i="18"/>
  <c r="B16" i="16" s="1"/>
  <c r="M89" i="18"/>
  <c r="W88"/>
  <c r="V88"/>
  <c r="U88"/>
  <c r="T88"/>
  <c r="S88"/>
  <c r="E8" s="1"/>
  <c r="F68" i="14" s="1"/>
  <c r="R88" i="18"/>
  <c r="Q88"/>
  <c r="P88"/>
  <c r="C8" s="1"/>
  <c r="D68" i="14" s="1"/>
  <c r="O88" i="18"/>
  <c r="N88"/>
  <c r="B8" s="1"/>
  <c r="M88"/>
  <c r="W60"/>
  <c r="V60"/>
  <c r="U60"/>
  <c r="T60"/>
  <c r="S60"/>
  <c r="R60"/>
  <c r="Q60"/>
  <c r="P60"/>
  <c r="D6" i="17" s="1"/>
  <c r="O60" i="18"/>
  <c r="N60"/>
  <c r="M60"/>
  <c r="W59"/>
  <c r="V59"/>
  <c r="U59"/>
  <c r="T59"/>
  <c r="S59"/>
  <c r="F13" i="15" s="1"/>
  <c r="R59" i="18"/>
  <c r="Q59"/>
  <c r="P59"/>
  <c r="D13" i="15" s="1"/>
  <c r="O59" i="18"/>
  <c r="N59"/>
  <c r="M59"/>
  <c r="W58"/>
  <c r="V58"/>
  <c r="U58"/>
  <c r="T58"/>
  <c r="S58"/>
  <c r="F16" i="16" s="1"/>
  <c r="R58" i="18"/>
  <c r="Q58"/>
  <c r="P58"/>
  <c r="O5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I17"/>
  <c r="H17"/>
  <c r="G17"/>
  <c r="F17"/>
  <c r="G79" i="14" s="1"/>
  <c r="E17" i="18"/>
  <c r="D17"/>
  <c r="E79" i="14" s="1"/>
  <c r="C17" i="18"/>
  <c r="B17"/>
  <c r="K11"/>
  <c r="J11"/>
  <c r="I11"/>
  <c r="H11"/>
  <c r="G11"/>
  <c r="F11"/>
  <c r="E11"/>
  <c r="D11"/>
  <c r="C11"/>
  <c r="L8"/>
  <c r="L9" s="1"/>
  <c r="K8"/>
  <c r="K9" s="1"/>
  <c r="I8"/>
  <c r="J68" i="14" s="1"/>
  <c r="H8" i="18"/>
  <c r="G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C6"/>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B11"/>
  <c r="D10"/>
  <c r="D9"/>
  <c r="E8"/>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G16"/>
  <c r="Q12"/>
  <c r="B12"/>
  <c r="N11"/>
  <c r="L11"/>
  <c r="K11"/>
  <c r="J11"/>
  <c r="H11"/>
  <c r="G11"/>
  <c r="F11"/>
  <c r="P9"/>
  <c r="O9"/>
  <c r="N9"/>
  <c r="L9"/>
  <c r="K9"/>
  <c r="J9"/>
  <c r="I9"/>
  <c r="F9"/>
  <c r="C9"/>
  <c r="M8"/>
  <c r="K8"/>
  <c r="I8"/>
  <c r="H8"/>
  <c r="G8"/>
  <c r="P7"/>
  <c r="O7"/>
  <c r="M7"/>
  <c r="K7"/>
  <c r="I7"/>
  <c r="H7"/>
  <c r="G7"/>
  <c r="M4"/>
  <c r="L4"/>
  <c r="K4"/>
  <c r="I4"/>
  <c r="H4"/>
  <c r="G4"/>
  <c r="K79" i="14"/>
  <c r="I79"/>
  <c r="B79"/>
  <c r="M78"/>
  <c r="L78"/>
  <c r="H78"/>
  <c r="G78"/>
  <c r="E78"/>
  <c r="L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H68" i="14" l="1"/>
  <c r="H69" s="1"/>
  <c r="D8" i="17"/>
  <c r="D7" i="48" s="1"/>
  <c r="D24" s="1"/>
  <c r="C97" i="18"/>
  <c r="I100" s="1"/>
  <c r="H7" s="1"/>
  <c r="I67" i="14" s="1"/>
  <c r="B16" i="18"/>
  <c r="B78" i="14" s="1"/>
  <c r="C13" i="15"/>
  <c r="C18" i="16"/>
  <c r="C8" i="48" s="1"/>
  <c r="N16" i="16"/>
  <c r="B13" i="15"/>
  <c r="F6" i="17"/>
  <c r="F8" s="1"/>
  <c r="D16" i="16"/>
  <c r="B8" i="9"/>
  <c r="B6" i="48" s="1"/>
  <c r="Q6" s="1"/>
  <c r="J15" i="16"/>
  <c r="O80" i="14"/>
  <c r="J8" i="18"/>
  <c r="K68" i="14" s="1"/>
  <c r="D12" i="22"/>
  <c r="E17" i="14"/>
  <c r="D13" i="48"/>
  <c r="D30" s="1"/>
  <c r="D31" i="20"/>
  <c r="E43" i="14" s="1"/>
  <c r="I101" i="18"/>
  <c r="H16" s="1"/>
  <c r="I78" i="14" s="1"/>
  <c r="I81" s="1"/>
  <c r="E101" i="18"/>
  <c r="E16" s="1"/>
  <c r="F78" i="14" s="1"/>
  <c r="F101" i="18"/>
  <c r="H101"/>
  <c r="D101"/>
  <c r="G101"/>
  <c r="I16" s="1"/>
  <c r="J78" i="14" s="1"/>
  <c r="C101" i="18"/>
  <c r="B101"/>
  <c r="C16" s="1"/>
  <c r="D78" i="14" s="1"/>
  <c r="O78" s="1"/>
  <c r="E12" i="22"/>
  <c r="F17" i="14"/>
  <c r="E13" i="48"/>
  <c r="B12" i="22"/>
  <c r="C17" i="14"/>
  <c r="B13" i="48"/>
  <c r="B13" i="16"/>
  <c r="C35"/>
  <c r="C64" i="14"/>
  <c r="D11" i="48"/>
  <c r="D14" i="15"/>
  <c r="K19" i="19"/>
  <c r="L35" i="14" s="1"/>
  <c r="L41" s="1"/>
  <c r="I19" i="19"/>
  <c r="J35" i="14" s="1"/>
  <c r="P22" i="16"/>
  <c r="Q39" i="14" s="1"/>
  <c r="P18" i="16"/>
  <c r="Q13" i="14" s="1"/>
  <c r="J8" i="17"/>
  <c r="J7" i="48" s="1"/>
  <c r="J24" s="1"/>
  <c r="G19" i="18"/>
  <c r="K19"/>
  <c r="L16" i="16"/>
  <c r="L18" s="1"/>
  <c r="N6" i="17"/>
  <c r="G100" i="18"/>
  <c r="B81" i="14"/>
  <c r="E31" i="20"/>
  <c r="F43" i="14" s="1"/>
  <c r="H14" i="22"/>
  <c r="D100" i="18"/>
  <c r="H100"/>
  <c r="B100"/>
  <c r="C7" s="1"/>
  <c r="D67" i="14" s="1"/>
  <c r="E9"/>
  <c r="J9"/>
  <c r="N9"/>
  <c r="N15" s="1"/>
  <c r="I11" i="48"/>
  <c r="M11"/>
  <c r="M19" i="19"/>
  <c r="N35" i="14" s="1"/>
  <c r="J7" i="15"/>
  <c r="O5" i="16"/>
  <c r="B7" i="18"/>
  <c r="B67" i="14" s="1"/>
  <c r="I19" i="18"/>
  <c r="C80" i="14"/>
  <c r="C16" i="15"/>
  <c r="D10" i="14" s="1"/>
  <c r="L6" i="17"/>
  <c r="E100" i="18"/>
  <c r="E7" s="1"/>
  <c r="F67" i="14" s="1"/>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H17"/>
  <c r="I17"/>
  <c r="H13" i="48"/>
  <c r="H30" s="1"/>
  <c r="H31" i="20"/>
  <c r="I43" i="14" s="1"/>
  <c r="G31" i="20"/>
  <c r="H43" i="14" s="1"/>
  <c r="C78" i="22"/>
  <c r="E7" i="15"/>
  <c r="Q9" i="14"/>
  <c r="G5" i="48"/>
  <c r="G22" s="1"/>
  <c r="E12" i="15"/>
  <c r="O5"/>
  <c r="O16" s="1"/>
  <c r="M20"/>
  <c r="N36" i="14" s="1"/>
  <c r="N41" s="1"/>
  <c r="N10"/>
  <c r="G20" i="15"/>
  <c r="H36" i="14" s="1"/>
  <c r="H41" s="1"/>
  <c r="H20" i="15"/>
  <c r="I36" i="14" s="1"/>
  <c r="I41" s="1"/>
  <c r="I10"/>
  <c r="I15" s="1"/>
  <c r="C66"/>
  <c r="B66"/>
  <c r="F8" i="16"/>
  <c r="D12" i="17"/>
  <c r="E48" i="14" s="1"/>
  <c r="E22"/>
  <c r="J9" i="16"/>
  <c r="B7" i="48"/>
  <c r="C22" i="14"/>
  <c r="C65"/>
  <c r="B65"/>
  <c r="F6" i="15"/>
  <c r="F8"/>
  <c r="N10" i="16"/>
  <c r="E14"/>
  <c r="J15" i="14"/>
  <c r="H15"/>
  <c r="L15"/>
  <c r="M46"/>
  <c r="P20"/>
  <c r="K20"/>
  <c r="L20"/>
  <c r="G20"/>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7"/>
  <c r="I26"/>
  <c r="I29"/>
  <c r="K26"/>
  <c r="O29"/>
  <c r="K21"/>
  <c r="G21"/>
  <c r="M16"/>
  <c r="M21" s="1"/>
  <c r="K29"/>
  <c r="B39" i="13"/>
  <c r="B51" s="1"/>
  <c r="F5" s="1"/>
  <c r="F8" s="1"/>
  <c r="G11" i="14" s="1"/>
  <c r="I21" i="48"/>
  <c r="K27"/>
  <c r="G29"/>
  <c r="O21"/>
  <c r="H24"/>
  <c r="L16"/>
  <c r="L21" s="1"/>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P29"/>
  <c r="K30"/>
  <c r="O30"/>
  <c r="C22" i="13"/>
  <c r="C21"/>
  <c r="C20"/>
  <c r="D23" i="48"/>
  <c r="H23"/>
  <c r="P23"/>
  <c r="H25"/>
  <c r="P26"/>
  <c r="F28"/>
  <c r="J28"/>
  <c r="N28"/>
  <c r="P30"/>
  <c r="E23"/>
  <c r="I23"/>
  <c r="O24"/>
  <c r="I25"/>
  <c r="P11" i="14"/>
  <c r="O12" i="13"/>
  <c r="P37" i="14" s="1"/>
  <c r="F69"/>
  <c r="C9" i="18"/>
  <c r="H9"/>
  <c r="B10" i="48"/>
  <c r="C18" i="14"/>
  <c r="P24" i="48"/>
  <c r="E5" i="17"/>
  <c r="C8"/>
  <c r="G24" i="48"/>
  <c r="K14"/>
  <c r="I24"/>
  <c r="G81" i="14"/>
  <c r="D79"/>
  <c r="H79"/>
  <c r="H81" s="1"/>
  <c r="L79"/>
  <c r="L81" s="1"/>
  <c r="F79"/>
  <c r="F81" s="1"/>
  <c r="J79"/>
  <c r="J81" s="1"/>
  <c r="E68"/>
  <c r="E69" s="1"/>
  <c r="I68"/>
  <c r="M68"/>
  <c r="M69" s="1"/>
  <c r="D19" i="18"/>
  <c r="H19"/>
  <c r="L19"/>
  <c r="B68" i="14"/>
  <c r="G68"/>
  <c r="G69" s="1"/>
  <c r="E81"/>
  <c r="M81"/>
  <c r="B19" i="18"/>
  <c r="F19"/>
  <c r="D11" i="14"/>
  <c r="C4" i="48"/>
  <c r="M8" i="18"/>
  <c r="M17"/>
  <c r="M18"/>
  <c r="D13" i="14"/>
  <c r="G22" l="1"/>
  <c r="F12" i="17"/>
  <c r="G48" i="14" s="1"/>
  <c r="F7" i="48"/>
  <c r="F24" s="1"/>
  <c r="L30"/>
  <c r="L23"/>
  <c r="B35" i="13"/>
  <c r="B47" s="1"/>
  <c r="I69" i="14"/>
  <c r="J12" i="17"/>
  <c r="K48" i="14" s="1"/>
  <c r="F100" i="18"/>
  <c r="I7" s="1"/>
  <c r="E9"/>
  <c r="J41" i="14"/>
  <c r="G13" i="48"/>
  <c r="G30" s="1"/>
  <c r="E19" i="18"/>
  <c r="L8" i="17"/>
  <c r="L7" i="48" s="1"/>
  <c r="L24" s="1"/>
  <c r="L5" i="17"/>
  <c r="N5"/>
  <c r="N8" s="1"/>
  <c r="L29" i="48"/>
  <c r="J16" i="18"/>
  <c r="K78" i="14" s="1"/>
  <c r="M28" i="48"/>
  <c r="C100" i="18"/>
  <c r="L12" i="17"/>
  <c r="M48" i="14" s="1"/>
  <c r="D81"/>
  <c r="O79"/>
  <c r="O81" s="1"/>
  <c r="B17" i="6" s="1"/>
  <c r="M23" i="48"/>
  <c r="L27"/>
  <c r="B9" i="18"/>
  <c r="M31" i="20"/>
  <c r="N43" i="14" s="1"/>
  <c r="M12" i="22"/>
  <c r="O18" i="16"/>
  <c r="B34" i="13"/>
  <c r="K22" i="14"/>
  <c r="M13"/>
  <c r="L8" i="48"/>
  <c r="L25" s="1"/>
  <c r="L22" i="16"/>
  <c r="M39" i="14" s="1"/>
  <c r="C7" i="48"/>
  <c r="D22" i="14"/>
  <c r="M22" i="48"/>
  <c r="B36" i="13"/>
  <c r="B48" s="1"/>
  <c r="C48" s="1"/>
  <c r="N5" s="1"/>
  <c r="N8" s="1"/>
  <c r="N4" i="48" s="1"/>
  <c r="N21" s="1"/>
  <c r="J7" i="18"/>
  <c r="O68" i="14"/>
  <c r="C68"/>
  <c r="E8" i="17"/>
  <c r="F22" i="14" s="1"/>
  <c r="D69"/>
  <c r="O67"/>
  <c r="D8" i="48"/>
  <c r="D25" s="1"/>
  <c r="D18" i="16"/>
  <c r="D22" s="1"/>
  <c r="E39" i="14" s="1"/>
  <c r="M22"/>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N12"/>
  <c r="J12"/>
  <c r="F12"/>
  <c r="E12"/>
  <c r="Q11" i="48"/>
  <c r="O5"/>
  <c r="R9" i="14"/>
  <c r="C19"/>
  <c r="C20" s="1"/>
  <c r="O28" i="48"/>
  <c r="H22"/>
  <c r="D5"/>
  <c r="D22" s="1"/>
  <c r="B46" i="13"/>
  <c r="E5" s="1"/>
  <c r="E8" s="1"/>
  <c r="E12" s="1"/>
  <c r="F37" i="14" s="1"/>
  <c r="K31" i="48"/>
  <c r="L26"/>
  <c r="M29"/>
  <c r="M25"/>
  <c r="M24"/>
  <c r="I31"/>
  <c r="C50" i="13"/>
  <c r="J5" s="1"/>
  <c r="J8" s="1"/>
  <c r="E12" i="17"/>
  <c r="F48" i="14" s="1"/>
  <c r="C5" i="48"/>
  <c r="O22" i="14" l="1"/>
  <c r="R22" s="1"/>
  <c r="N12" i="17"/>
  <c r="O48" i="14" s="1"/>
  <c r="N7" i="48"/>
  <c r="N24" s="1"/>
  <c r="K81" i="14"/>
  <c r="C78"/>
  <c r="M16" i="18"/>
  <c r="M19" s="1"/>
  <c r="E7" i="48"/>
  <c r="E24" s="1"/>
  <c r="C81" i="14"/>
  <c r="J19" i="18"/>
  <c r="E13" i="14"/>
  <c r="E15" s="1"/>
  <c r="E23" s="1"/>
  <c r="C14" i="48"/>
  <c r="E19" i="14"/>
  <c r="E20" s="1"/>
  <c r="E20" i="15"/>
  <c r="F36" i="14" s="1"/>
  <c r="E16" i="15"/>
  <c r="E5" i="48" s="1"/>
  <c r="E22" s="1"/>
  <c r="K67" i="14"/>
  <c r="K69" s="1"/>
  <c r="J9" i="18"/>
  <c r="J67" i="14"/>
  <c r="I9" i="18"/>
  <c r="M7"/>
  <c r="M9" s="1"/>
  <c r="J16" i="15"/>
  <c r="K10" i="14" s="1"/>
  <c r="O8" i="48"/>
  <c r="O25" s="1"/>
  <c r="P13" i="14"/>
  <c r="P15" s="1"/>
  <c r="P23" s="1"/>
  <c r="M14" i="22"/>
  <c r="N19"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P14"/>
  <c r="F10" i="14"/>
  <c r="B8" i="48"/>
  <c r="J5"/>
  <c r="J22" s="1"/>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J20" l="1"/>
  <c r="K36" i="14" s="1"/>
  <c r="M18" i="22"/>
  <c r="N45" i="14" s="1"/>
  <c r="N46" s="1"/>
  <c r="N53" s="1"/>
  <c r="M9" i="48"/>
  <c r="M26" s="1"/>
  <c r="M31" s="1"/>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M14" i="48"/>
  <c r="F13" i="14"/>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R10" i="14"/>
  <c r="F22" i="16" l="1"/>
  <c r="G39" i="14" s="1"/>
  <c r="G41" s="1"/>
  <c r="Q9" i="48"/>
  <c r="F8"/>
  <c r="F14" s="1"/>
  <c r="N25"/>
  <c r="N31" s="1"/>
  <c r="N14"/>
  <c r="E8"/>
  <c r="J22" i="16"/>
  <c r="K39" i="14" s="1"/>
  <c r="K41" s="1"/>
  <c r="K53" s="1"/>
  <c r="J31" i="48"/>
  <c r="J14"/>
  <c r="R20" i="14"/>
  <c r="N55"/>
  <c r="H55"/>
  <c r="G31" i="48"/>
  <c r="F55" i="14"/>
  <c r="O53"/>
  <c r="G53"/>
  <c r="G55" s="1"/>
  <c r="O69" s="1"/>
  <c r="B9" i="6" s="1"/>
  <c r="B12" s="1"/>
  <c r="M53" i="14"/>
  <c r="M55" s="1"/>
  <c r="C12" i="13"/>
  <c r="D37" i="14" s="1"/>
  <c r="D41" s="1"/>
  <c r="C23" i="48"/>
  <c r="C24"/>
  <c r="C27"/>
  <c r="C28"/>
  <c r="C22"/>
  <c r="C25"/>
  <c r="C29"/>
  <c r="C21"/>
  <c r="C26"/>
  <c r="K55" i="14"/>
  <c r="R13"/>
  <c r="R15" s="1"/>
  <c r="F25" i="48" l="1"/>
  <c r="F31" s="1"/>
  <c r="Q8"/>
  <c r="Q14"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<sst xmlns="http://schemas.openxmlformats.org/spreadsheetml/2006/main" count="2038" uniqueCount="901">
  <si>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</si>
  <si>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</si>
  <si>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</si>
  <si>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</si>
  <si>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</si>
  <si>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</si>
  <si>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</si>
  <si>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</si>
  <si>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</si>
  <si>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</si>
  <si>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</si>
  <si>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</si>
  <si>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</si>
  <si>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</si>
  <si>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</si>
  <si>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</si>
  <si>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</si>
  <si>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</si>
  <si>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</si>
  <si>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</si>
  <si>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</si>
  <si>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</si>
  <si>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</si>
  <si>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</si>
  <si>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</si>
  <si>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</si>
  <si>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</si>
  <si>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</si>
  <si>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</si>
  <si>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</si>
  <si>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</si>
  <si>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</si>
  <si>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</si>
  <si>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</si>
  <si>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</si>
  <si>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</si>
  <si>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</si>
  <si>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</si>
  <si>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</si>
  <si>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</si>
  <si>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</si>
  <si>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</si>
  <si>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</si>
  <si>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</si>
  <si>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</si>
  <si>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</si>
  <si>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</si>
  <si>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</si>
  <si>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</si>
  <si>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</si>
  <si>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</si>
  <si>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</si>
  <si>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</si>
  <si>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</si>
  <si>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</si>
  <si>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</si>
  <si>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</si>
  <si>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</si>
  <si>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</si>
  <si>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</si>
  <si>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</si>
  <si>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</si>
  <si>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</si>
  <si>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</si>
  <si>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</si>
  <si>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</si>
  <si>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</si>
  <si>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</si>
  <si>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</si>
  <si>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</si>
  <si>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</si>
  <si>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</si>
  <si>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</si>
  <si>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</si>
  <si>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</si>
  <si>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</si>
  <si>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</si>
  <si>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</si>
  <si>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</si>
  <si>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</si>
  <si>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</si>
  <si>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</si>
  <si>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</si>
  <si>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</si>
  <si>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</si>
  <si>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</si>
  <si>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</si>
  <si>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</si>
  <si>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</si>
  <si>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</si>
  <si>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</si>
  <si>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</si>
  <si>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</si>
  <si>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</si>
  <si>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</si>
  <si>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</si>
  <si>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</si>
  <si>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</si>
  <si>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</si>
  <si>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</si>
  <si>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</si>
  <si>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</si>
  <si>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</si>
  <si>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</si>
  <si>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</si>
  <si>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</si>
  <si>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</si>
  <si>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</si>
  <si>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</si>
  <si>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</si>
  <si>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</si>
  <si>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</si>
  <si>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</si>
  <si>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</si>
  <si>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</si>
  <si>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</si>
  <si>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</si>
  <si>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</si>
  <si>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</si>
  <si>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</si>
  <si>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</si>
  <si>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</si>
  <si>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</si>
  <si>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</si>
  <si>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</si>
  <si>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</si>
  <si>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</si>
  <si>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</si>
  <si>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</si>
  <si>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</si>
  <si>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</si>
  <si>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</si>
  <si>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</si>
  <si>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</si>
  <si>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</si>
  <si>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</si>
  <si>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</si>
  <si>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</si>
  <si>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</si>
  <si>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</si>
  <si>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</si>
  <si>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</si>
  <si>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</si>
  <si>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</si>
  <si>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</si>
  <si>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</si>
  <si>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</si>
  <si>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</si>
  <si>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</si>
  <si>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</si>
  <si>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</si>
  <si>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</si>
  <si>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</si>
  <si>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</si>
  <si>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</si>
  <si>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</si>
  <si>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</si>
  <si>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</si>
  <si>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</si>
  <si>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</si>
  <si>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</si>
  <si>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</si>
  <si>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</si>
  <si>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</si>
  <si>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</si>
  <si>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</si>
  <si>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</si>
  <si>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</si>
  <si>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</si>
  <si>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</si>
  <si>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</si>
  <si>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</si>
  <si>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</si>
  <si>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</si>
  <si>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</si>
  <si>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</si>
  <si>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</si>
  <si>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</si>
  <si>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</si>
  <si>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</si>
  <si>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</si>
  <si>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</si>
  <si>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</si>
  <si>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</si>
  <si>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</si>
  <si>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</si>
  <si>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</si>
  <si>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</si>
  <si>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</si>
  <si>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</si>
  <si>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</si>
  <si>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</si>
  <si>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</si>
  <si>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</si>
  <si>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</si>
  <si>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</si>
  <si>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</si>
  <si>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</si>
  <si>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</si>
  <si>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</si>
  <si>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</si>
  <si>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</si>
  <si>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</si>
  <si>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</si>
  <si>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</si>
  <si>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</si>
  <si>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</si>
  <si>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</si>
  <si>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</si>
  <si>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</si>
  <si>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</si>
  <si>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</si>
  <si>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</si>
  <si>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</si>
  <si>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</si>
  <si>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</si>
  <si>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</si>
  <si>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</si>
  <si>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</si>
  <si>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</si>
  <si>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</si>
  <si>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</si>
  <si>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</si>
  <si>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</si>
  <si>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</si>
  <si>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</si>
  <si>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</si>
  <si>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</si>
  <si>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</si>
  <si>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</si>
  <si>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</si>
  <si>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</si>
  <si>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</si>
  <si>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</si>
  <si>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</si>
  <si>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</si>
  <si>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</si>
  <si>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</si>
  <si>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</si>
  <si>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</si>
  <si>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</si>
  <si>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</si>
  <si>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</si>
  <si>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</si>
  <si>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</si>
  <si>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</si>
  <si>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</si>
  <si>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</si>
  <si>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</si>
  <si>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</si>
  <si>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</si>
  <si>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</si>
  <si>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</si>
  <si>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</si>
  <si>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</si>
  <si>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</si>
  <si>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</si>
  <si>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</si>
  <si>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</si>
  <si>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</si>
  <si>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</si>
  <si>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</si>
  <si>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</si>
  <si>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</si>
  <si>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</si>
  <si>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</si>
  <si>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</si>
  <si>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</si>
  <si>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</si>
  <si>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</si>
  <si>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</si>
  <si>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</si>
  <si>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</si>
  <si>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</si>
  <si>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</si>
  <si>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</si>
  <si>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</si>
  <si>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</si>
  <si>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</si>
  <si>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</si>
  <si>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</si>
  <si>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</si>
  <si>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</si>
  <si>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</si>
  <si>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</si>
  <si>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</si>
  <si>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</si>
  <si>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</si>
  <si>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</si>
  <si>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</si>
  <si>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</si>
  <si>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</si>
  <si>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</si>
  <si>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</si>
  <si>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</si>
  <si>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</si>
  <si>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</si>
  <si>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</si>
  <si>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</si>
  <si>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</si>
  <si>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</si>
  <si>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</si>
  <si>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</si>
  <si>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</si>
  <si>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</si>
  <si>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</si>
  <si>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</si>
  <si>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</si>
  <si>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</si>
  <si>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</si>
  <si>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</si>
  <si>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</si>
  <si>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</si>
  <si>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</si>
  <si>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</si>
  <si>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</si>
  <si>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</si>
  <si>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</si>
  <si>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</si>
  <si>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</si>
  <si>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</si>
  <si>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</si>
  <si>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</si>
  <si>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</si>
  <si>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</si>
  <si>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</si>
  <si>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</si>
  <si>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</si>
  <si>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</si>
  <si>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</si>
  <si>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</si>
  <si>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</si>
  <si>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</si>
  <si>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</si>
  <si>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</si>
  <si>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</si>
  <si>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</si>
  <si>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</si>
  <si>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</si>
  <si>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</si>
  <si>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</si>
  <si>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</si>
  <si>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</si>
  <si>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</si>
  <si>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</si>
  <si>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</si>
  <si>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</si>
  <si>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</si>
  <si>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</si>
  <si>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</si>
  <si>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</si>
  <si>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</si>
  <si>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</si>
  <si>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</si>
  <si>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</si>
  <si>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</si>
  <si>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</si>
  <si>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</si>
  <si>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</si>
  <si>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</si>
  <si>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</si>
  <si>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</si>
  <si>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</si>
  <si>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</si>
  <si>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</si>
  <si>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</si>
  <si>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</si>
  <si>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</si>
  <si>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</si>
  <si>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</si>
  <si>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</si>
  <si>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</si>
  <si>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</si>
  <si>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</si>
  <si>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</si>
  <si>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</si>
  <si>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</si>
  <si>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</si>
  <si>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</si>
  <si>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</si>
  <si>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</si>
  <si>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</si>
  <si>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</si>
  <si>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</si>
  <si>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</si>
  <si>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</si>
  <si>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</si>
  <si>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</si>
  <si>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</si>
  <si>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</si>
  <si>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</si>
  <si>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</si>
  <si>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</si>
  <si>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</si>
  <si>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</si>
  <si>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</si>
  <si>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</si>
  <si>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</si>
  <si>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</si>
  <si>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</si>
  <si>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</si>
  <si>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</si>
  <si>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</si>
  <si>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</si>
  <si>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</si>
  <si>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</si>
  <si>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</si>
  <si>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</si>
  <si>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</si>
  <si>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</si>
  <si>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</si>
  <si>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</si>
  <si>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</si>
  <si>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</si>
  <si>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</si>
  <si>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</si>
  <si>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</si>
  <si>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</si>
  <si>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</si>
  <si>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</si>
  <si>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</si>
  <si>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</si>
  <si>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</si>
  <si>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</si>
  <si>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</si>
  <si>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</si>
  <si>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</si>
  <si>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</si>
  <si>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</si>
  <si>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</si>
  <si>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</si>
  <si>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</si>
  <si>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</si>
  <si>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</si>
  <si>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</si>
  <si>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</si>
  <si>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</si>
  <si>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</si>
  <si>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</si>
  <si>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</si>
  <si>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</si>
  <si>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</si>
  <si>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</si>
  <si>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</si>
  <si>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</si>
  <si>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</si>
  <si>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</si>
  <si>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</si>
  <si>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</si>
  <si>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</si>
  <si>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</si>
  <si>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</si>
  <si>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</si>
  <si>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</si>
  <si>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</si>
  <si>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</si>
  <si>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</si>
  <si>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</si>
  <si>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</si>
  <si>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</si>
  <si>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</si>
  <si>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</si>
  <si>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</si>
  <si>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</si>
  <si>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</si>
  <si>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</si>
  <si>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</si>
  <si>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</si>
  <si>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</si>
  <si>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</si>
  <si>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</si>
  <si>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</si>
  <si>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</si>
  <si>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</si>
  <si>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</si>
  <si>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</si>
  <si>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</si>
  <si>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</si>
  <si>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</si>
  <si>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</si>
  <si>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</si>
  <si>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</si>
  <si>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</si>
  <si>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</si>
  <si>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</si>
  <si>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</si>
  <si>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</si>
  <si>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</si>
  <si>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</si>
  <si>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</si>
  <si>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</si>
  <si>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</si>
  <si>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</si>
  <si>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</si>
  <si>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</si>
  <si>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</si>
  <si>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</si>
  <si>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</si>
  <si>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</si>
  <si>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</si>
  <si>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</si>
  <si>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</si>
  <si>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</si>
  <si>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</si>
  <si>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</si>
  <si>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</si>
  <si>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</si>
  <si>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</si>
  <si>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</si>
  <si>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</si>
  <si>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</si>
  <si>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</si>
  <si>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</si>
  <si>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</si>
  <si>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</si>
  <si>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</si>
  <si>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</si>
  <si>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</si>
  <si>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</si>
  <si>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</si>
  <si>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</si>
  <si>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</si>
  <si>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</si>
  <si>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</si>
  <si>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</si>
  <si>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</si>
  <si>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</si>
  <si>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</si>
  <si>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</si>
  <si>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</si>
  <si>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</si>
  <si>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</si>
  <si>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</si>
  <si>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</si>
  <si>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</si>
  <si>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</si>
  <si>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</si>
  <si>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</si>
  <si>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</si>
  <si>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</si>
  <si>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</si>
  <si>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</si>
  <si>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</si>
  <si>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</si>
  <si>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</si>
  <si>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</si>
  <si>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</si>
  <si>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</si>
  <si>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</si>
  <si>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</si>
  <si>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</si>
  <si>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</si>
  <si>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</si>
  <si>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</si>
  <si>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</si>
  <si>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</si>
  <si>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</si>
  <si>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</si>
  <si>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</si>
  <si>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</si>
  <si>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</si>
  <si>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</si>
  <si>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</si>
  <si>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</si>
  <si>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</si>
  <si>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</si>
  <si>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</si>
  <si>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</si>
  <si>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</si>
  <si>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</si>
  <si>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</si>
  <si>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</si>
  <si>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</si>
  <si>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</si>
  <si>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</si>
  <si>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</si>
  <si>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</si>
  <si>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</si>
  <si>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</si>
  <si>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</si>
  <si>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</si>
  <si>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</si>
  <si>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</si>
  <si>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</si>
  <si>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</si>
  <si>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</si>
  <si>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</si>
  <si>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</si>
  <si>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</si>
  <si>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</si>
  <si>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</si>
  <si>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</si>
  <si>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</si>
  <si>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</si>
  <si>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</si>
  <si>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</si>
  <si>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</si>
  <si>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</si>
  <si>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</si>
  <si>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</si>
  <si>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</si>
  <si>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</si>
  <si>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</si>
  <si>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</si>
  <si>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</si>
  <si>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</si>
  <si>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</si>
  <si>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</si>
  <si>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</si>
  <si>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</si>
  <si>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</si>
  <si>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</si>
  <si>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</si>
  <si>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</si>
  <si>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</si>
  <si>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</si>
  <si>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</si>
  <si>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</si>
  <si>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</si>
  <si>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</si>
  <si>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</si>
  <si>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</si>
  <si>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</si>
  <si>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</si>
  <si>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</si>
  <si>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</si>
  <si>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</si>
  <si>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</si>
  <si>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</si>
  <si>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</si>
  <si>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</si>
  <si>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</si>
  <si>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</si>
  <si>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</si>
  <si>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</si>
  <si>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</si>
  <si>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</si>
  <si>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</si>
  <si>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</si>
  <si>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</si>
  <si>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</si>
  <si>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</si>
  <si>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</si>
  <si>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</si>
  <si>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</si>
  <si>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</si>
  <si>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</si>
  <si>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</si>
  <si>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</si>
  <si>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</si>
  <si>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</si>
  <si>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</si>
  <si>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</si>
  <si>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</si>
  <si>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</si>
  <si>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</si>
  <si>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</si>
  <si>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</si>
  <si>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</si>
  <si>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</si>
  <si>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</si>
  <si>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</si>
  <si>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</si>
  <si>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</si>
  <si>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</si>
  <si>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</si>
  <si>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</si>
  <si>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</si>
  <si>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</si>
  <si>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</si>
  <si>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</si>
  <si>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</si>
  <si>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</si>
  <si>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</si>
  <si>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</si>
  <si>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</si>
  <si>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</si>
  <si>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</si>
  <si>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</si>
  <si>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</si>
  <si>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</si>
  <si>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</si>
  <si>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</si>
  <si>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</si>
  <si>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</si>
  <si>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</si>
  <si>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</si>
  <si>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</si>
  <si>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</si>
  <si>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</si>
  <si>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</si>
  <si>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</si>
  <si>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</si>
  <si>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</si>
  <si>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</si>
  <si>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</si>
  <si>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</si>
  <si>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</si>
  <si>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</si>
  <si>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</si>
  <si>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</si>
  <si>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</si>
  <si>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</si>
  <si>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</si>
  <si>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</si>
  <si>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</si>
  <si>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</si>
  <si>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</si>
  <si>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</si>
  <si>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</si>
  <si>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</si>
  <si>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</si>
  <si>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</si>
  <si>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</si>
  <si>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</si>
  <si>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</si>
  <si>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</si>
  <si>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</si>
  <si>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</si>
  <si>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</si>
  <si>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</si>
  <si>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</si>
  <si>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</si>
  <si>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</si>
  <si>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</si>
  <si>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</si>
  <si>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</si>
  <si>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</si>
  <si>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</si>
  <si>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</si>
  <si>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</si>
  <si>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</si>
  <si>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</si>
  <si>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</si>
  <si>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</si>
  <si>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</si>
  <si>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</si>
  <si>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</si>
  <si>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</si>
  <si>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</si>
  <si>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</si>
  <si>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</si>
  <si>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</si>
  <si>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</si>
  <si>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</si>
  <si>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</si>
  <si>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</si>
  <si>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</si>
  <si>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</si>
  <si>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</si>
  <si>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</si>
  <si>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</si>
  <si>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</si>
  <si>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</si>
  <si>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</si>
  <si>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</si>
  <si>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</si>
  <si>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</si>
  <si>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</si>
  <si>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</si>
  <si>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</si>
  <si>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</si>
  <si>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</si>
  <si>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</si>
  <si>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</si>
  <si>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</si>
  <si>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</si>
  <si>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</si>
  <si>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</si>
  <si>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</si>
  <si>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</si>
  <si>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</si>
  <si>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</si>
  <si>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</si>
  <si>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</si>
  <si>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</si>
  <si>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</si>
  <si>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</si>
  <si>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</si>
  <si>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</si>
  <si>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</si>
  <si>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</si>
  <si>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</si>
  <si>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</si>
  <si>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</si>
  <si>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</si>
  <si>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</si>
  <si>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</si>
  <si>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</si>
  <si>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</si>
  <si>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</si>
  <si>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</si>
  <si>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</si>
  <si>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</si>
  <si>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</si>
  <si>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</si>
  <si>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</si>
  <si>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</si>
  <si>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</si>
  <si>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</si>
  <si>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</si>
  <si>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</si>
  <si>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</si>
  <si>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</si>
  <si>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</si>
  <si>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</si>
  <si>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</si>
  <si>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</si>
  <si>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</si>
  <si>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</si>
  <si>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</si>
  <si>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</si>
  <si>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</si>
  <si>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</si>
  <si>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</si>
  <si>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</si>
  <si>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</si>
  <si>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</si>
  <si>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</si>
  <si>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</si>
  <si>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</si>
  <si>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</si>
  <si>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</si>
  <si>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</si>
  <si>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</si>
  <si>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</si>
  <si>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</si>
  <si>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</si>
  <si>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</si>
  <si>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</si>
  <si>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</si>
  <si>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</si>
  <si>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</si>
  <si>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</si>
  <si>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</si>
  <si>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</si>
  <si>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</si>
  <si>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</si>
  <si>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</si>
  <si>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</si>
  <si>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</si>
  <si>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</si>
  <si>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</si>
  <si>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</si>
  <si>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</si>
  <si>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</si>
  <si>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</si>
  <si>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</si>
  <si>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</si>
  <si>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</si>
  <si>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</si>
  <si>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</si>
  <si>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</si>
  <si>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</si>
  <si>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</si>
  <si>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</si>
  <si>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</si>
  <si>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</si>
  <si>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</si>
  <si>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</si>
  <si>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</si>
  <si>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</si>
  <si>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</si>
  <si>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</si>
  <si>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</si>
  <si>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</si>
  <si>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</si>
  <si>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</si>
  <si>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</si>
  <si>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</si>
  <si>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</si>
  <si>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</si>
  <si>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</si>
  <si>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</si>
  <si>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</si>
  <si>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</si>
  <si>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</si>
  <si>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</si>
  <si>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</si>
  <si>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</si>
  <si>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</si>
  <si>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</si>
  <si>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</si>
  <si>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</si>
  <si>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</si>
  <si>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41063</t>
  </si>
  <si>
    <t>SINT-LIEVENS-HOUTEM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</si>
  <si>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</si>
  <si>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</si>
  <si>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</si>
  <si>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</si>
  <si>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</si>
  <si>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</si>
  <si>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</si>
  <si>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COFELY Services</t>
  </si>
  <si>
    <t>Koning Albert II-laan 30 28, 1000 Brussel</t>
  </si>
  <si>
    <t>BGS-0018 Ilva Vlierzele</t>
  </si>
  <si>
    <t>biogas - stortgas</t>
  </si>
  <si>
    <t>niet WKK interne verbrandingsmotor (gas)</t>
  </si>
  <si>
    <t>Bussegem 2, 9520 Sint-Lievens-Houtem</t>
  </si>
  <si>
    <t>Imewo</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</si>
</sst>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41063</v>
      </c>
      <c r="B6" s="396"/>
      <c r="C6" s="397"/>
    </row>
    <row r="7" spans="1:7" s="394" customFormat="1" ht="15.75" customHeight="1">
      <c r="A7" s="398" t="str">
        <f>txtMunicipality</f>
        <v>SINT-LIEVENS-HOUTEM</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41063</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4024</v>
      </c>
      <c r="C9" s="336">
        <v>4327</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1446</v>
      </c>
    </row>
    <row r="15" spans="1:6">
      <c r="A15" s="1194" t="s">
        <v>185</v>
      </c>
      <c r="B15" s="333">
        <v>8</v>
      </c>
    </row>
    <row r="16" spans="1:6">
      <c r="A16" s="1194" t="s">
        <v>6</v>
      </c>
      <c r="B16" s="333">
        <v>243</v>
      </c>
    </row>
    <row r="17" spans="1:6">
      <c r="A17" s="1194" t="s">
        <v>7</v>
      </c>
      <c r="B17" s="333">
        <v>353</v>
      </c>
    </row>
    <row r="18" spans="1:6">
      <c r="A18" s="1194" t="s">
        <v>8</v>
      </c>
      <c r="B18" s="333">
        <v>468</v>
      </c>
    </row>
    <row r="19" spans="1:6">
      <c r="A19" s="1194" t="s">
        <v>9</v>
      </c>
      <c r="B19" s="333">
        <v>434</v>
      </c>
    </row>
    <row r="20" spans="1:6">
      <c r="A20" s="1194" t="s">
        <v>10</v>
      </c>
      <c r="B20" s="333">
        <v>501</v>
      </c>
    </row>
    <row r="21" spans="1:6">
      <c r="A21" s="1194" t="s">
        <v>11</v>
      </c>
      <c r="B21" s="333">
        <v>0</v>
      </c>
    </row>
    <row r="22" spans="1:6">
      <c r="A22" s="1194" t="s">
        <v>12</v>
      </c>
      <c r="B22" s="333">
        <v>8</v>
      </c>
    </row>
    <row r="23" spans="1:6">
      <c r="A23" s="1194" t="s">
        <v>13</v>
      </c>
      <c r="B23" s="333">
        <v>0</v>
      </c>
    </row>
    <row r="24" spans="1:6">
      <c r="A24" s="1194" t="s">
        <v>14</v>
      </c>
      <c r="B24" s="333">
        <v>0</v>
      </c>
    </row>
    <row r="25" spans="1:6">
      <c r="A25" s="1194" t="s">
        <v>15</v>
      </c>
      <c r="B25" s="333">
        <v>0</v>
      </c>
    </row>
    <row r="26" spans="1:6">
      <c r="A26" s="1194" t="s">
        <v>16</v>
      </c>
      <c r="B26" s="333">
        <v>136</v>
      </c>
    </row>
    <row r="27" spans="1:6">
      <c r="A27" s="1194" t="s">
        <v>17</v>
      </c>
      <c r="B27" s="333">
        <v>262</v>
      </c>
    </row>
    <row r="28" spans="1:6">
      <c r="A28" s="1194" t="s">
        <v>18</v>
      </c>
      <c r="B28" s="333">
        <v>30055</v>
      </c>
    </row>
    <row r="29" spans="1:6">
      <c r="A29" s="1194" t="s">
        <v>888</v>
      </c>
      <c r="B29" s="333">
        <v>103</v>
      </c>
    </row>
    <row r="30" spans="1:6">
      <c r="A30" s="1190" t="s">
        <v>889</v>
      </c>
      <c r="B30" s="1190">
        <v>9</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3</v>
      </c>
      <c r="F38" s="333">
        <v>24563.171846011999</v>
      </c>
    </row>
    <row r="39" spans="1:6">
      <c r="A39" s="1194" t="s">
        <v>30</v>
      </c>
      <c r="B39" s="1194" t="s">
        <v>31</v>
      </c>
      <c r="C39" s="333">
        <v>1628</v>
      </c>
      <c r="D39" s="333">
        <v>27292203.2453967</v>
      </c>
      <c r="E39" s="333">
        <v>3946</v>
      </c>
      <c r="F39" s="333">
        <v>21353527.829680599</v>
      </c>
    </row>
    <row r="40" spans="1:6">
      <c r="A40" s="1194" t="s">
        <v>30</v>
      </c>
      <c r="B40" s="1194" t="s">
        <v>29</v>
      </c>
      <c r="C40" s="333">
        <v>0</v>
      </c>
      <c r="D40" s="333">
        <v>0</v>
      </c>
      <c r="E40" s="333">
        <v>0</v>
      </c>
      <c r="F40" s="333">
        <v>0</v>
      </c>
    </row>
    <row r="41" spans="1:6">
      <c r="A41" s="1194" t="s">
        <v>32</v>
      </c>
      <c r="B41" s="1194" t="s">
        <v>33</v>
      </c>
      <c r="C41" s="333">
        <v>10</v>
      </c>
      <c r="D41" s="333">
        <v>159477.864785577</v>
      </c>
      <c r="E41" s="333">
        <v>75</v>
      </c>
      <c r="F41" s="333">
        <v>473377.83679637499</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0</v>
      </c>
      <c r="F44" s="333">
        <v>0</v>
      </c>
    </row>
    <row r="45" spans="1:6">
      <c r="A45" s="1194" t="s">
        <v>32</v>
      </c>
      <c r="B45" s="1194" t="s">
        <v>37</v>
      </c>
      <c r="C45" s="333">
        <v>0</v>
      </c>
      <c r="D45" s="333">
        <v>0</v>
      </c>
      <c r="E45" s="333">
        <v>4</v>
      </c>
      <c r="F45" s="333">
        <v>19114</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18</v>
      </c>
      <c r="D48" s="333">
        <v>31878519.770760499</v>
      </c>
      <c r="E48" s="333">
        <v>39</v>
      </c>
      <c r="F48" s="333">
        <v>22908443.966808699</v>
      </c>
    </row>
    <row r="49" spans="1:6">
      <c r="A49" s="1194" t="s">
        <v>32</v>
      </c>
      <c r="B49" s="1194" t="s">
        <v>40</v>
      </c>
      <c r="C49" s="333">
        <v>0</v>
      </c>
      <c r="D49" s="333">
        <v>0</v>
      </c>
      <c r="E49" s="333">
        <v>0</v>
      </c>
      <c r="F49" s="333">
        <v>0</v>
      </c>
    </row>
    <row r="50" spans="1:6">
      <c r="A50" s="1194" t="s">
        <v>32</v>
      </c>
      <c r="B50" s="1194" t="s">
        <v>41</v>
      </c>
      <c r="C50" s="333">
        <v>0</v>
      </c>
      <c r="D50" s="333">
        <v>0</v>
      </c>
      <c r="E50" s="333">
        <v>10</v>
      </c>
      <c r="F50" s="333">
        <v>222074.776672359</v>
      </c>
    </row>
    <row r="51" spans="1:6">
      <c r="A51" s="1194" t="s">
        <v>42</v>
      </c>
      <c r="B51" s="1194" t="s">
        <v>43</v>
      </c>
      <c r="C51" s="333">
        <v>4</v>
      </c>
      <c r="D51" s="333">
        <v>74710.837775451102</v>
      </c>
      <c r="E51" s="333">
        <v>66</v>
      </c>
      <c r="F51" s="333">
        <v>1256067.9896060999</v>
      </c>
    </row>
    <row r="52" spans="1:6">
      <c r="A52" s="1194" t="s">
        <v>42</v>
      </c>
      <c r="B52" s="1194" t="s">
        <v>29</v>
      </c>
      <c r="C52" s="333">
        <v>0</v>
      </c>
      <c r="D52" s="333">
        <v>0</v>
      </c>
      <c r="E52" s="333">
        <v>11</v>
      </c>
      <c r="F52" s="333">
        <v>43706.155340903402</v>
      </c>
    </row>
    <row r="53" spans="1:6">
      <c r="A53" s="1194" t="s">
        <v>44</v>
      </c>
      <c r="B53" s="1194" t="s">
        <v>45</v>
      </c>
      <c r="C53" s="333">
        <v>48</v>
      </c>
      <c r="D53" s="333">
        <v>832299.30186858797</v>
      </c>
      <c r="E53" s="333">
        <v>125</v>
      </c>
      <c r="F53" s="333">
        <v>653322.762089091</v>
      </c>
    </row>
    <row r="54" spans="1:6">
      <c r="A54" s="1194" t="s">
        <v>46</v>
      </c>
      <c r="B54" s="1194" t="s">
        <v>47</v>
      </c>
      <c r="C54" s="333">
        <v>0</v>
      </c>
      <c r="D54" s="333">
        <v>0</v>
      </c>
      <c r="E54" s="333">
        <v>5</v>
      </c>
      <c r="F54" s="333">
        <v>624012</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14</v>
      </c>
      <c r="D57" s="333">
        <v>383346.79826460802</v>
      </c>
      <c r="E57" s="333">
        <v>75</v>
      </c>
      <c r="F57" s="333">
        <v>1443829.2078682201</v>
      </c>
    </row>
    <row r="58" spans="1:6">
      <c r="A58" s="1194" t="s">
        <v>49</v>
      </c>
      <c r="B58" s="1194" t="s">
        <v>51</v>
      </c>
      <c r="C58" s="333">
        <v>12</v>
      </c>
      <c r="D58" s="333">
        <v>238261.89055683499</v>
      </c>
      <c r="E58" s="333">
        <v>24</v>
      </c>
      <c r="F58" s="333">
        <v>579060.66580817197</v>
      </c>
    </row>
    <row r="59" spans="1:6">
      <c r="A59" s="1194" t="s">
        <v>49</v>
      </c>
      <c r="B59" s="1194" t="s">
        <v>52</v>
      </c>
      <c r="C59" s="333">
        <v>10</v>
      </c>
      <c r="D59" s="333">
        <v>295665.24637179502</v>
      </c>
      <c r="E59" s="333">
        <v>82</v>
      </c>
      <c r="F59" s="333">
        <v>2188312.8700268902</v>
      </c>
    </row>
    <row r="60" spans="1:6">
      <c r="A60" s="1194" t="s">
        <v>49</v>
      </c>
      <c r="B60" s="1194" t="s">
        <v>53</v>
      </c>
      <c r="C60" s="333">
        <v>16</v>
      </c>
      <c r="D60" s="333">
        <v>415385.36710017303</v>
      </c>
      <c r="E60" s="333">
        <v>31</v>
      </c>
      <c r="F60" s="333">
        <v>457573.33164344198</v>
      </c>
    </row>
    <row r="61" spans="1:6">
      <c r="A61" s="1194" t="s">
        <v>49</v>
      </c>
      <c r="B61" s="1194" t="s">
        <v>54</v>
      </c>
      <c r="C61" s="333">
        <v>30</v>
      </c>
      <c r="D61" s="333">
        <v>1887444.7551569899</v>
      </c>
      <c r="E61" s="333">
        <v>87</v>
      </c>
      <c r="F61" s="333">
        <v>912047.14496522699</v>
      </c>
    </row>
    <row r="62" spans="1:6">
      <c r="A62" s="1194" t="s">
        <v>49</v>
      </c>
      <c r="B62" s="1194" t="s">
        <v>55</v>
      </c>
      <c r="C62" s="333">
        <v>3</v>
      </c>
      <c r="D62" s="333">
        <v>170877.321554953</v>
      </c>
      <c r="E62" s="333">
        <v>3</v>
      </c>
      <c r="F62" s="333">
        <v>36108.129716149597</v>
      </c>
    </row>
    <row r="63" spans="1:6">
      <c r="A63" s="1194" t="s">
        <v>49</v>
      </c>
      <c r="B63" s="1194" t="s">
        <v>29</v>
      </c>
      <c r="C63" s="333">
        <v>56</v>
      </c>
      <c r="D63" s="333">
        <v>1898699.4273487299</v>
      </c>
      <c r="E63" s="333">
        <v>101</v>
      </c>
      <c r="F63" s="333">
        <v>1314366.34596674</v>
      </c>
    </row>
    <row r="64" spans="1:6">
      <c r="A64" s="1194" t="s">
        <v>56</v>
      </c>
      <c r="B64" s="1194" t="s">
        <v>57</v>
      </c>
      <c r="C64" s="333">
        <v>0</v>
      </c>
      <c r="D64" s="333">
        <v>0</v>
      </c>
      <c r="E64" s="333">
        <v>0</v>
      </c>
      <c r="F64" s="333">
        <v>0</v>
      </c>
    </row>
    <row r="65" spans="1:6">
      <c r="A65" s="1194" t="s">
        <v>56</v>
      </c>
      <c r="B65" s="1194" t="s">
        <v>29</v>
      </c>
      <c r="C65" s="333">
        <v>1</v>
      </c>
      <c r="D65" s="333">
        <v>17132.601230661199</v>
      </c>
      <c r="E65" s="333">
        <v>2</v>
      </c>
      <c r="F65" s="333">
        <v>34800.983228012003</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7</v>
      </c>
      <c r="F68" s="333">
        <v>521758.60738447902</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10750616</v>
      </c>
      <c r="E73" s="333">
        <v>11378176.174970282</v>
      </c>
      <c r="F73" s="333">
        <v>10478746</v>
      </c>
    </row>
    <row r="74" spans="1:6">
      <c r="A74" s="1194" t="s">
        <v>64</v>
      </c>
      <c r="B74" s="1194" t="s">
        <v>775</v>
      </c>
      <c r="C74" s="1205" t="s">
        <v>776</v>
      </c>
      <c r="D74" s="333">
        <v>681521.77552638308</v>
      </c>
      <c r="E74" s="333">
        <v>731054.98611974146</v>
      </c>
      <c r="F74" s="333">
        <v>663765.97031678457</v>
      </c>
    </row>
    <row r="75" spans="1:6">
      <c r="A75" s="1194" t="s">
        <v>65</v>
      </c>
      <c r="B75" s="1194" t="s">
        <v>773</v>
      </c>
      <c r="C75" s="1205" t="s">
        <v>777</v>
      </c>
      <c r="D75" s="333">
        <v>25409479</v>
      </c>
      <c r="E75" s="333">
        <v>26706909.220792782</v>
      </c>
      <c r="F75" s="333">
        <v>24380389</v>
      </c>
    </row>
    <row r="76" spans="1:6">
      <c r="A76" s="1194" t="s">
        <v>65</v>
      </c>
      <c r="B76" s="1194" t="s">
        <v>775</v>
      </c>
      <c r="C76" s="1205" t="s">
        <v>778</v>
      </c>
      <c r="D76" s="333">
        <v>993127.77552638308</v>
      </c>
      <c r="E76" s="333">
        <v>1056445.8714268995</v>
      </c>
      <c r="F76" s="333">
        <v>952135.97031678457</v>
      </c>
    </row>
    <row r="77" spans="1:6">
      <c r="A77" s="1194" t="s">
        <v>66</v>
      </c>
      <c r="B77" s="1194" t="s">
        <v>773</v>
      </c>
      <c r="C77" s="1205" t="s">
        <v>779</v>
      </c>
      <c r="D77" s="333">
        <v>68946866</v>
      </c>
      <c r="E77" s="333">
        <v>71167794.802546322</v>
      </c>
      <c r="F77" s="333">
        <v>72100673</v>
      </c>
    </row>
    <row r="78" spans="1:6">
      <c r="A78" s="1190" t="s">
        <v>66</v>
      </c>
      <c r="B78" s="1190" t="s">
        <v>775</v>
      </c>
      <c r="C78" s="1190" t="s">
        <v>780</v>
      </c>
      <c r="D78" s="1190">
        <v>8970748</v>
      </c>
      <c r="E78" s="1190">
        <v>9602357.7001528163</v>
      </c>
      <c r="F78" s="336">
        <v>9330300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224230.44894723393</v>
      </c>
      <c r="C83" s="333">
        <v>204863.15924084117</v>
      </c>
      <c r="D83" s="333">
        <v>201912.05936643077</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877.58612116939264</v>
      </c>
    </row>
    <row r="92" spans="1:6">
      <c r="A92" s="1190" t="s">
        <v>69</v>
      </c>
      <c r="B92" s="336">
        <v>680.84892282384067</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484</v>
      </c>
    </row>
    <row r="98" spans="1:6">
      <c r="A98" s="1194" t="s">
        <v>72</v>
      </c>
      <c r="B98" s="333">
        <v>1</v>
      </c>
    </row>
    <row r="99" spans="1:6">
      <c r="A99" s="1194" t="s">
        <v>73</v>
      </c>
      <c r="B99" s="333">
        <v>64</v>
      </c>
    </row>
    <row r="100" spans="1:6">
      <c r="A100" s="1194" t="s">
        <v>74</v>
      </c>
      <c r="B100" s="333">
        <v>466</v>
      </c>
    </row>
    <row r="101" spans="1:6">
      <c r="A101" s="1194" t="s">
        <v>75</v>
      </c>
      <c r="B101" s="333">
        <v>58</v>
      </c>
    </row>
    <row r="102" spans="1:6">
      <c r="A102" s="1194" t="s">
        <v>76</v>
      </c>
      <c r="B102" s="333">
        <v>82</v>
      </c>
    </row>
    <row r="103" spans="1:6">
      <c r="A103" s="1194" t="s">
        <v>77</v>
      </c>
      <c r="B103" s="333">
        <v>363</v>
      </c>
    </row>
    <row r="104" spans="1:6">
      <c r="A104" s="1194" t="s">
        <v>78</v>
      </c>
      <c r="B104" s="333">
        <v>2072</v>
      </c>
    </row>
    <row r="105" spans="1:6">
      <c r="A105" s="1190" t="s">
        <v>79</v>
      </c>
      <c r="B105" s="1190">
        <v>3</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4</v>
      </c>
      <c r="C123" s="333">
        <v>9</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33</v>
      </c>
    </row>
    <row r="130" spans="1:6">
      <c r="A130" s="1194" t="s">
        <v>296</v>
      </c>
      <c r="B130" s="333">
        <v>0</v>
      </c>
    </row>
    <row r="131" spans="1:6">
      <c r="A131" s="1194" t="s">
        <v>297</v>
      </c>
      <c r="B131" s="333">
        <v>0</v>
      </c>
    </row>
    <row r="132" spans="1:6">
      <c r="A132" s="1190" t="s">
        <v>298</v>
      </c>
      <c r="B132" s="336">
        <v>11</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60020.047549022209</v>
      </c>
      <c r="C3" s="43" t="s">
        <v>171</v>
      </c>
      <c r="D3" s="43"/>
      <c r="E3" s="156"/>
      <c r="F3" s="43"/>
      <c r="G3" s="43"/>
      <c r="H3" s="43"/>
      <c r="I3" s="43"/>
      <c r="J3" s="43"/>
      <c r="K3" s="96"/>
    </row>
    <row r="4" spans="1:11">
      <c r="A4" s="364" t="s">
        <v>172</v>
      </c>
      <c r="B4" s="49">
        <f>IF(ISERROR('SEAP template'!B69),0,'SEAP template'!B69)</f>
        <v>6868.4350439932332</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0.19570971439196683</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624.01199999999994</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624.01199999999994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0.19570971439196683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122.12521029716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21353.527829680599</v>
      </c>
      <c r="C5" s="17">
        <f>IF(ISERROR('Eigen informatie GS &amp; warmtenet'!B57),0,'Eigen informatie GS &amp; warmtenet'!B57)</f>
        <v>0</v>
      </c>
      <c r="D5" s="30">
        <f>(SUM(HH_hh_gas_kWh,HH_rest_gas_kWh)/1000)*0.902</f>
        <v>24617.567327347824</v>
      </c>
      <c r="E5" s="17">
        <f>B46*B57</f>
        <v>2440.3758176631777</v>
      </c>
      <c r="F5" s="17">
        <f>B51*B62</f>
        <v>23768.915149126809</v>
      </c>
      <c r="G5" s="18"/>
      <c r="H5" s="17"/>
      <c r="I5" s="17"/>
      <c r="J5" s="17">
        <f>B50*B61+C50*C61</f>
        <v>7131.3516216838962</v>
      </c>
      <c r="K5" s="17"/>
      <c r="L5" s="17"/>
      <c r="M5" s="17"/>
      <c r="N5" s="17">
        <f>B48*B59+C48*C59</f>
        <v>6398.8898349134906</v>
      </c>
      <c r="O5" s="17">
        <f>B69*B70*B71</f>
        <v>65.660000000000011</v>
      </c>
      <c r="P5" s="17">
        <f>B77*B78*B79/1000-B77*B78*B79/1000/B80</f>
        <v>286</v>
      </c>
    </row>
    <row r="6" spans="1:16">
      <c r="A6" s="16" t="s">
        <v>633</v>
      </c>
      <c r="B6" s="830">
        <f>kWh_PV_kleiner_dan_10kW</f>
        <v>877.58612116939264</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22231.113950849991</v>
      </c>
      <c r="C8" s="21">
        <f>C5</f>
        <v>0</v>
      </c>
      <c r="D8" s="21">
        <f>D5</f>
        <v>24617.567327347824</v>
      </c>
      <c r="E8" s="21">
        <f>E5</f>
        <v>2440.3758176631777</v>
      </c>
      <c r="F8" s="21">
        <f>F5</f>
        <v>23768.915149126809</v>
      </c>
      <c r="G8" s="21"/>
      <c r="H8" s="21"/>
      <c r="I8" s="21"/>
      <c r="J8" s="21">
        <f>J5</f>
        <v>7131.3516216838962</v>
      </c>
      <c r="K8" s="21"/>
      <c r="L8" s="21">
        <f>L5</f>
        <v>0</v>
      </c>
      <c r="M8" s="21">
        <f>M5</f>
        <v>0</v>
      </c>
      <c r="N8" s="21">
        <f>N5</f>
        <v>6398.8898349134906</v>
      </c>
      <c r="O8" s="21">
        <f>O5</f>
        <v>65.660000000000011</v>
      </c>
      <c r="P8" s="21">
        <f>P5</f>
        <v>286</v>
      </c>
    </row>
    <row r="9" spans="1:16">
      <c r="B9" s="19"/>
      <c r="C9" s="19"/>
      <c r="D9" s="260"/>
      <c r="E9" s="19"/>
      <c r="F9" s="19"/>
      <c r="G9" s="19"/>
      <c r="H9" s="19"/>
      <c r="I9" s="19"/>
      <c r="J9" s="19"/>
      <c r="K9" s="19"/>
      <c r="L9" s="19"/>
      <c r="M9" s="19"/>
      <c r="N9" s="19"/>
      <c r="O9" s="19"/>
      <c r="P9" s="19"/>
    </row>
    <row r="10" spans="1:16">
      <c r="A10" s="24" t="s">
        <v>215</v>
      </c>
      <c r="B10" s="25">
        <f ca="1">'EF ele_warmte'!B12</f>
        <v>0.19570971439196683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4350.8449619361209</v>
      </c>
      <c r="C12" s="23">
        <f ca="1">C10*C8</f>
        <v>0</v>
      </c>
      <c r="D12" s="23">
        <f>D8*D10</f>
        <v>4972.7486001242605</v>
      </c>
      <c r="E12" s="23">
        <f>E10*E8</f>
        <v>553.96531060954135</v>
      </c>
      <c r="F12" s="23">
        <f>F10*F8</f>
        <v>6346.3003448168583</v>
      </c>
      <c r="G12" s="23"/>
      <c r="H12" s="23"/>
      <c r="I12" s="23"/>
      <c r="J12" s="23">
        <f>J10*J8</f>
        <v>2524.4984740760992</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484</v>
      </c>
      <c r="C18" s="167" t="s">
        <v>111</v>
      </c>
      <c r="D18" s="229"/>
      <c r="E18" s="15"/>
    </row>
    <row r="19" spans="1:7">
      <c r="A19" s="172" t="s">
        <v>72</v>
      </c>
      <c r="B19" s="37">
        <f>aantalw2001_ander</f>
        <v>1</v>
      </c>
      <c r="C19" s="167" t="s">
        <v>111</v>
      </c>
      <c r="D19" s="230"/>
      <c r="E19" s="15"/>
    </row>
    <row r="20" spans="1:7">
      <c r="A20" s="172" t="s">
        <v>73</v>
      </c>
      <c r="B20" s="37">
        <f>aantalw2001_propaan</f>
        <v>64</v>
      </c>
      <c r="C20" s="168">
        <f>IF(ISERROR(B20/SUM($B$20,$B$21,$B$22)*100),0,B20/SUM($B$20,$B$21,$B$22)*100)</f>
        <v>10.884353741496598</v>
      </c>
      <c r="D20" s="230"/>
      <c r="E20" s="15"/>
    </row>
    <row r="21" spans="1:7">
      <c r="A21" s="172" t="s">
        <v>74</v>
      </c>
      <c r="B21" s="37">
        <f>aantalw2001_elektriciteit</f>
        <v>466</v>
      </c>
      <c r="C21" s="168">
        <f>IF(ISERROR(B21/SUM($B$20,$B$21,$B$22)*100),0,B21/SUM($B$20,$B$21,$B$22)*100)</f>
        <v>79.251700680272108</v>
      </c>
      <c r="D21" s="230"/>
      <c r="E21" s="15"/>
    </row>
    <row r="22" spans="1:7">
      <c r="A22" s="172" t="s">
        <v>75</v>
      </c>
      <c r="B22" s="37">
        <f>aantalw2001_hout</f>
        <v>58</v>
      </c>
      <c r="C22" s="168">
        <f>IF(ISERROR(B22/SUM($B$20,$B$21,$B$22)*100),0,B22/SUM($B$20,$B$21,$B$22)*100)</f>
        <v>9.8639455782312915</v>
      </c>
      <c r="D22" s="230"/>
      <c r="E22" s="15"/>
    </row>
    <row r="23" spans="1:7">
      <c r="A23" s="172" t="s">
        <v>76</v>
      </c>
      <c r="B23" s="37">
        <f>aantalw2001_niet_gespec</f>
        <v>82</v>
      </c>
      <c r="C23" s="167" t="s">
        <v>111</v>
      </c>
      <c r="D23" s="229"/>
      <c r="E23" s="15"/>
    </row>
    <row r="24" spans="1:7">
      <c r="A24" s="172" t="s">
        <v>77</v>
      </c>
      <c r="B24" s="37">
        <f>aantalw2001_steenkool</f>
        <v>363</v>
      </c>
      <c r="C24" s="167" t="s">
        <v>111</v>
      </c>
      <c r="D24" s="230"/>
      <c r="E24" s="15"/>
    </row>
    <row r="25" spans="1:7">
      <c r="A25" s="172" t="s">
        <v>78</v>
      </c>
      <c r="B25" s="37">
        <f>aantalw2001_stookolie</f>
        <v>2072</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713</v>
      </c>
      <c r="B28" s="37">
        <f>aantalHuishoudens2011</f>
        <v>4024</v>
      </c>
      <c r="C28" s="36"/>
      <c r="D28" s="229"/>
    </row>
    <row r="29" spans="1:7" s="15" customFormat="1">
      <c r="A29" s="231" t="s">
        <v>714</v>
      </c>
      <c r="B29" s="37">
        <f>SUM(HH_hh_gas_aantal,HH_rest_gas_aantal)</f>
        <v>1628</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1628</v>
      </c>
      <c r="C32" s="168">
        <f>IF(ISERROR(B32/SUM($B$32,$B$34,$B$35,$B$36,$B$38,$B$39)*100),0,B32/SUM($B$32,$B$34,$B$35,$B$36,$B$38,$B$39)*100)</f>
        <v>40.608630581192315</v>
      </c>
      <c r="D32" s="234"/>
      <c r="G32" s="15"/>
    </row>
    <row r="33" spans="1:7">
      <c r="A33" s="172" t="s">
        <v>72</v>
      </c>
      <c r="B33" s="34" t="s">
        <v>111</v>
      </c>
      <c r="C33" s="168"/>
      <c r="D33" s="234"/>
      <c r="G33" s="15"/>
    </row>
    <row r="34" spans="1:7">
      <c r="A34" s="172" t="s">
        <v>73</v>
      </c>
      <c r="B34" s="33">
        <f>IF((($B$28-$B$32-$B$39-$B$77-$B$38)*C20/100)&lt;0,0,($B$28-$B$32-$B$39-$B$77-$B$38)*C20/100)</f>
        <v>118.63945578231295</v>
      </c>
      <c r="C34" s="168">
        <f>IF(ISERROR(B34/SUM($B$32,$B$34,$B$35,$B$36,$B$38,$B$39)*100),0,B34/SUM($B$32,$B$34,$B$35,$B$36,$B$38,$B$39)*100)</f>
        <v>2.9593279067675966</v>
      </c>
      <c r="D34" s="234"/>
      <c r="G34" s="15"/>
    </row>
    <row r="35" spans="1:7">
      <c r="A35" s="172" t="s">
        <v>74</v>
      </c>
      <c r="B35" s="33">
        <f>IF((($B$28-$B$32-$B$39-$B$77-$B$38)*C21/100)&lt;0,0,($B$28-$B$32-$B$39-$B$77-$B$38)*C21/100)</f>
        <v>863.84353741496614</v>
      </c>
      <c r="C35" s="168">
        <f>IF(ISERROR(B35/SUM($B$32,$B$34,$B$35,$B$36,$B$38,$B$39)*100),0,B35/SUM($B$32,$B$34,$B$35,$B$36,$B$38,$B$39)*100)</f>
        <v>21.547606321151562</v>
      </c>
      <c r="D35" s="234"/>
      <c r="G35" s="15"/>
    </row>
    <row r="36" spans="1:7">
      <c r="A36" s="172" t="s">
        <v>75</v>
      </c>
      <c r="B36" s="33">
        <f>IF((($B$28-$B$32-$B$39-$B$77-$B$38)*C22/100)&lt;0,0,($B$28-$B$32-$B$39-$B$77-$B$38)*C22/100)</f>
        <v>107.5170068027211</v>
      </c>
      <c r="C36" s="168">
        <f>IF(ISERROR(B36/SUM($B$32,$B$34,$B$35,$B$36,$B$38,$B$39)*100),0,B36/SUM($B$32,$B$34,$B$35,$B$36,$B$38,$B$39)*100)</f>
        <v>2.6818909155081343</v>
      </c>
      <c r="D36" s="234"/>
      <c r="G36" s="15"/>
    </row>
    <row r="37" spans="1:7">
      <c r="A37" s="172" t="s">
        <v>76</v>
      </c>
      <c r="B37" s="34" t="s">
        <v>111</v>
      </c>
      <c r="C37" s="168"/>
      <c r="D37" s="174"/>
      <c r="G37" s="15"/>
    </row>
    <row r="38" spans="1:7">
      <c r="A38" s="172" t="s">
        <v>77</v>
      </c>
      <c r="B38" s="33">
        <f>IF((B24-(B29-B18)*0.1)&lt;0,0,B24-(B29-B18)*0.1)</f>
        <v>248.6</v>
      </c>
      <c r="C38" s="168">
        <f>IF(ISERROR(B38/SUM($B$32,$B$34,$B$35,$B$36,$B$38,$B$39)*100),0,B38/SUM($B$32,$B$34,$B$35,$B$36,$B$38,$B$39)*100)</f>
        <v>6.2010476428036911</v>
      </c>
      <c r="D38" s="235"/>
      <c r="G38" s="15"/>
    </row>
    <row r="39" spans="1:7">
      <c r="A39" s="172" t="s">
        <v>78</v>
      </c>
      <c r="B39" s="33">
        <f>IF((B25-(B29-B18))&lt;0,0,B25-(B29-B18)*0.9)</f>
        <v>1042.3999999999999</v>
      </c>
      <c r="C39" s="168">
        <f>IF(ISERROR(B39/SUM($B$32,$B$34,$B$35,$B$36,$B$38,$B$39)*100),0,B39/SUM($B$32,$B$34,$B$35,$B$36,$B$38,$B$39)*100)</f>
        <v>26.0014966325767</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1628</v>
      </c>
      <c r="C44" s="34" t="s">
        <v>111</v>
      </c>
      <c r="D44" s="175"/>
    </row>
    <row r="45" spans="1:7">
      <c r="A45" s="172" t="s">
        <v>72</v>
      </c>
      <c r="B45" s="33" t="str">
        <f t="shared" si="0"/>
        <v>-</v>
      </c>
      <c r="C45" s="34" t="s">
        <v>111</v>
      </c>
      <c r="D45" s="175"/>
    </row>
    <row r="46" spans="1:7">
      <c r="A46" s="172" t="s">
        <v>73</v>
      </c>
      <c r="B46" s="33">
        <f t="shared" si="0"/>
        <v>118.63945578231295</v>
      </c>
      <c r="C46" s="34" t="s">
        <v>111</v>
      </c>
      <c r="D46" s="175"/>
    </row>
    <row r="47" spans="1:7">
      <c r="A47" s="172" t="s">
        <v>74</v>
      </c>
      <c r="B47" s="33">
        <f t="shared" si="0"/>
        <v>863.84353741496614</v>
      </c>
      <c r="C47" s="34" t="s">
        <v>111</v>
      </c>
      <c r="D47" s="175"/>
    </row>
    <row r="48" spans="1:7">
      <c r="A48" s="172" t="s">
        <v>75</v>
      </c>
      <c r="B48" s="33">
        <f t="shared" si="0"/>
        <v>107.5170068027211</v>
      </c>
      <c r="C48" s="33">
        <f>B48*10</f>
        <v>1075.1700680272111</v>
      </c>
      <c r="D48" s="235"/>
    </row>
    <row r="49" spans="1:6">
      <c r="A49" s="172" t="s">
        <v>76</v>
      </c>
      <c r="B49" s="33" t="str">
        <f t="shared" si="0"/>
        <v>-</v>
      </c>
      <c r="C49" s="34" t="s">
        <v>111</v>
      </c>
      <c r="D49" s="235"/>
    </row>
    <row r="50" spans="1:6">
      <c r="A50" s="172" t="s">
        <v>77</v>
      </c>
      <c r="B50" s="33">
        <f t="shared" si="0"/>
        <v>248.6</v>
      </c>
      <c r="C50" s="33">
        <f>B50*2</f>
        <v>497.2</v>
      </c>
      <c r="D50" s="235"/>
    </row>
    <row r="51" spans="1:6">
      <c r="A51" s="172" t="s">
        <v>78</v>
      </c>
      <c r="B51" s="33">
        <f t="shared" si="0"/>
        <v>1042.3999999999999</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42</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15</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6931.297695994841</v>
      </c>
      <c r="C5" s="17">
        <f>IF(ISERROR('Eigen informatie GS &amp; warmtenet'!B58),0,'Eigen informatie GS &amp; warmtenet'!B58)</f>
        <v>0</v>
      </c>
      <c r="D5" s="30">
        <f>SUM(D6:D12)</f>
        <v>4771.2920873313833</v>
      </c>
      <c r="E5" s="17">
        <f>SUM(E6:E12)</f>
        <v>106.23147077799285</v>
      </c>
      <c r="F5" s="17">
        <f>SUM(F6:F12)</f>
        <v>1366.2726425057078</v>
      </c>
      <c r="G5" s="18"/>
      <c r="H5" s="17"/>
      <c r="I5" s="17"/>
      <c r="J5" s="17">
        <f>SUM(J6:J12)</f>
        <v>0</v>
      </c>
      <c r="K5" s="17"/>
      <c r="L5" s="17"/>
      <c r="M5" s="17"/>
      <c r="N5" s="17">
        <f>SUM(N6:N12)</f>
        <v>383.23472043969241</v>
      </c>
      <c r="O5" s="17">
        <f>B38*B39*B40</f>
        <v>0</v>
      </c>
      <c r="P5" s="17">
        <f>B46*B47*B48/1000-B46*B47*B48/1000/B49</f>
        <v>0</v>
      </c>
      <c r="R5" s="32"/>
    </row>
    <row r="6" spans="1:18">
      <c r="A6" s="32" t="s">
        <v>54</v>
      </c>
      <c r="B6" s="37">
        <f>B26</f>
        <v>912.04714496522695</v>
      </c>
      <c r="C6" s="33"/>
      <c r="D6" s="37">
        <f>IF(ISERROR(TER_kantoor_gas_kWh/1000),0,TER_kantoor_gas_kWh/1000)*0.902</f>
        <v>1702.4751691516049</v>
      </c>
      <c r="E6" s="33">
        <f>$C$26*'E Balans VL '!I12/100/3.6*1000000</f>
        <v>31.925237836170634</v>
      </c>
      <c r="F6" s="33">
        <f>$C$26*('E Balans VL '!L12+'E Balans VL '!N12)/100/3.6*1000000</f>
        <v>138.28592863705009</v>
      </c>
      <c r="G6" s="34"/>
      <c r="H6" s="33"/>
      <c r="I6" s="33"/>
      <c r="J6" s="33">
        <f>$C$26*('E Balans VL '!D12+'E Balans VL '!E12)/100/3.6*1000000</f>
        <v>0</v>
      </c>
      <c r="K6" s="33"/>
      <c r="L6" s="33"/>
      <c r="M6" s="33"/>
      <c r="N6" s="33">
        <f>$C$26*'E Balans VL '!Y12/100/3.6*1000000</f>
        <v>7.0498389676811222</v>
      </c>
      <c r="O6" s="33"/>
      <c r="P6" s="33"/>
      <c r="R6" s="32"/>
    </row>
    <row r="7" spans="1:18">
      <c r="A7" s="32" t="s">
        <v>53</v>
      </c>
      <c r="B7" s="37">
        <f t="shared" ref="B7:B12" si="0">B27</f>
        <v>457.57333164344197</v>
      </c>
      <c r="C7" s="33"/>
      <c r="D7" s="37">
        <f>IF(ISERROR(TER_horeca_gas_kWh/1000),0,TER_horeca_gas_kWh/1000)*0.902</f>
        <v>374.6776011243561</v>
      </c>
      <c r="E7" s="33">
        <f>$C$27*'E Balans VL '!I9/100/3.6*1000000</f>
        <v>25.813220148236613</v>
      </c>
      <c r="F7" s="33">
        <f>$C$27*('E Balans VL '!L9+'E Balans VL '!N9)/100/3.6*1000000</f>
        <v>79.711806615617391</v>
      </c>
      <c r="G7" s="34"/>
      <c r="H7" s="33"/>
      <c r="I7" s="33"/>
      <c r="J7" s="33">
        <f>$C$27*('E Balans VL '!D9+'E Balans VL '!E9)/100/3.6*1000000</f>
        <v>0</v>
      </c>
      <c r="K7" s="33"/>
      <c r="L7" s="33"/>
      <c r="M7" s="33"/>
      <c r="N7" s="33">
        <f>$C$27*'E Balans VL '!Y9/100/3.6*1000000</f>
        <v>0</v>
      </c>
      <c r="O7" s="33"/>
      <c r="P7" s="33"/>
      <c r="R7" s="32"/>
    </row>
    <row r="8" spans="1:18">
      <c r="A8" s="6" t="s">
        <v>52</v>
      </c>
      <c r="B8" s="37">
        <f t="shared" si="0"/>
        <v>2188.3128700268903</v>
      </c>
      <c r="C8" s="33"/>
      <c r="D8" s="37">
        <f>IF(ISERROR(TER_handel_gas_kWh/1000),0,TER_handel_gas_kWh/1000)*0.902</f>
        <v>266.6900522273591</v>
      </c>
      <c r="E8" s="33">
        <f>$C$28*'E Balans VL '!I13/100/3.6*1000000</f>
        <v>11.234575945354987</v>
      </c>
      <c r="F8" s="33">
        <f>$C$28*('E Balans VL '!L13+'E Balans VL '!N13)/100/3.6*1000000</f>
        <v>337.4040316532583</v>
      </c>
      <c r="G8" s="34"/>
      <c r="H8" s="33"/>
      <c r="I8" s="33"/>
      <c r="J8" s="33">
        <f>$C$28*('E Balans VL '!D13+'E Balans VL '!E13)/100/3.6*1000000</f>
        <v>0</v>
      </c>
      <c r="K8" s="33"/>
      <c r="L8" s="33"/>
      <c r="M8" s="33"/>
      <c r="N8" s="33">
        <f>$C$28*'E Balans VL '!Y13/100/3.6*1000000</f>
        <v>1.0235006412656844</v>
      </c>
      <c r="O8" s="33"/>
      <c r="P8" s="33"/>
      <c r="R8" s="32"/>
    </row>
    <row r="9" spans="1:18">
      <c r="A9" s="32" t="s">
        <v>51</v>
      </c>
      <c r="B9" s="37">
        <f t="shared" si="0"/>
        <v>579.06066580817196</v>
      </c>
      <c r="C9" s="33"/>
      <c r="D9" s="37">
        <f>IF(ISERROR(TER_gezond_gas_kWh/1000),0,TER_gezond_gas_kWh/1000)*0.902</f>
        <v>214.91222528226518</v>
      </c>
      <c r="E9" s="33">
        <f>$C$29*'E Balans VL '!I10/100/3.6*1000000</f>
        <v>0.24001652205522583</v>
      </c>
      <c r="F9" s="33">
        <f>$C$29*('E Balans VL '!L10+'E Balans VL '!N10)/100/3.6*1000000</f>
        <v>142.61433715080176</v>
      </c>
      <c r="G9" s="34"/>
      <c r="H9" s="33"/>
      <c r="I9" s="33"/>
      <c r="J9" s="33">
        <f>$C$29*('E Balans VL '!D10+'E Balans VL '!E10)/100/3.6*1000000</f>
        <v>0</v>
      </c>
      <c r="K9" s="33"/>
      <c r="L9" s="33"/>
      <c r="M9" s="33"/>
      <c r="N9" s="33">
        <f>$C$29*'E Balans VL '!Y10/100/3.6*1000000</f>
        <v>5.0045174001813031</v>
      </c>
      <c r="O9" s="33"/>
      <c r="P9" s="33"/>
      <c r="R9" s="32"/>
    </row>
    <row r="10" spans="1:18">
      <c r="A10" s="32" t="s">
        <v>50</v>
      </c>
      <c r="B10" s="37">
        <f t="shared" si="0"/>
        <v>1443.82920786822</v>
      </c>
      <c r="C10" s="33"/>
      <c r="D10" s="37">
        <f>IF(ISERROR(TER_ander_gas_kWh/1000),0,TER_ander_gas_kWh/1000)*0.902</f>
        <v>345.77881203467643</v>
      </c>
      <c r="E10" s="33">
        <f>$C$30*'E Balans VL '!I14/100/3.6*1000000</f>
        <v>8.8016184743258865</v>
      </c>
      <c r="F10" s="33">
        <f>$C$30*('E Balans VL '!L14+'E Balans VL '!N14)/100/3.6*1000000</f>
        <v>382.77890122247237</v>
      </c>
      <c r="G10" s="34"/>
      <c r="H10" s="33"/>
      <c r="I10" s="33"/>
      <c r="J10" s="33">
        <f>$C$30*('E Balans VL '!D14+'E Balans VL '!E14)/100/3.6*1000000</f>
        <v>0</v>
      </c>
      <c r="K10" s="33"/>
      <c r="L10" s="33"/>
      <c r="M10" s="33"/>
      <c r="N10" s="33">
        <f>$C$30*'E Balans VL '!Y14/100/3.6*1000000</f>
        <v>332.7714335608099</v>
      </c>
      <c r="O10" s="33"/>
      <c r="P10" s="33"/>
      <c r="R10" s="32"/>
    </row>
    <row r="11" spans="1:18">
      <c r="A11" s="32" t="s">
        <v>55</v>
      </c>
      <c r="B11" s="37">
        <f t="shared" si="0"/>
        <v>36.108129716149598</v>
      </c>
      <c r="C11" s="33"/>
      <c r="D11" s="37">
        <f>IF(ISERROR(TER_onderwijs_gas_kWh/1000),0,TER_onderwijs_gas_kWh/1000)*0.902</f>
        <v>154.1313440425676</v>
      </c>
      <c r="E11" s="33">
        <f>$C$31*'E Balans VL '!I11/100/3.6*1000000</f>
        <v>2.7516275013883058E-2</v>
      </c>
      <c r="F11" s="33">
        <f>$C$31*('E Balans VL '!L11+'E Balans VL '!N11)/100/3.6*1000000</f>
        <v>26.129821470448185</v>
      </c>
      <c r="G11" s="34"/>
      <c r="H11" s="33"/>
      <c r="I11" s="33"/>
      <c r="J11" s="33">
        <f>$C$31*('E Balans VL '!D11+'E Balans VL '!E11)/100/3.6*1000000</f>
        <v>0</v>
      </c>
      <c r="K11" s="33"/>
      <c r="L11" s="33"/>
      <c r="M11" s="33"/>
      <c r="N11" s="33">
        <f>$C$31*'E Balans VL '!Y11/100/3.6*1000000</f>
        <v>0.10641928795924517</v>
      </c>
      <c r="O11" s="33"/>
      <c r="P11" s="33"/>
      <c r="R11" s="32"/>
    </row>
    <row r="12" spans="1:18">
      <c r="A12" s="32" t="s">
        <v>261</v>
      </c>
      <c r="B12" s="37">
        <f t="shared" si="0"/>
        <v>1314.36634596674</v>
      </c>
      <c r="C12" s="33"/>
      <c r="D12" s="37">
        <f>IF(ISERROR(TER_rest_gas_kWh/1000),0,TER_rest_gas_kWh/1000)*0.902</f>
        <v>1712.6268834685543</v>
      </c>
      <c r="E12" s="33">
        <f>$C$32*'E Balans VL '!I8/100/3.6*1000000</f>
        <v>28.189285576835609</v>
      </c>
      <c r="F12" s="33">
        <f>$C$32*('E Balans VL '!L8+'E Balans VL '!N8)/100/3.6*1000000</f>
        <v>259.34781575605979</v>
      </c>
      <c r="G12" s="34"/>
      <c r="H12" s="33"/>
      <c r="I12" s="33"/>
      <c r="J12" s="33">
        <f>$C$32*('E Balans VL '!D8+'E Balans VL '!E8)/100/3.6*1000000</f>
        <v>0</v>
      </c>
      <c r="K12" s="33"/>
      <c r="L12" s="33"/>
      <c r="M12" s="33"/>
      <c r="N12" s="33">
        <f>$C$32*'E Balans VL '!Y8/100/3.6*1000000</f>
        <v>37.27901058179512</v>
      </c>
      <c r="O12" s="33"/>
      <c r="P12" s="33"/>
      <c r="R12" s="32"/>
    </row>
    <row r="13" spans="1:18">
      <c r="A13" s="16" t="s">
        <v>497</v>
      </c>
      <c r="B13" s="248">
        <f ca="1">'lokale energieproductie'!N90+'lokale energieproductie'!N59</f>
        <v>5310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-15171.428571428572</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12241.297695994841</v>
      </c>
      <c r="C16" s="21">
        <f ca="1">C5+C13+C14</f>
        <v>0</v>
      </c>
      <c r="D16" s="21">
        <f t="shared" ref="D16:N16" ca="1" si="1">MAX((D5+D13+D14),0)</f>
        <v>4771.2920873313833</v>
      </c>
      <c r="E16" s="21">
        <f t="shared" si="1"/>
        <v>106.23147077799285</v>
      </c>
      <c r="F16" s="21">
        <f t="shared" ca="1" si="1"/>
        <v>1366.2726425057078</v>
      </c>
      <c r="G16" s="21">
        <f t="shared" si="1"/>
        <v>0</v>
      </c>
      <c r="H16" s="21">
        <f t="shared" si="1"/>
        <v>0</v>
      </c>
      <c r="I16" s="21">
        <f t="shared" si="1"/>
        <v>0</v>
      </c>
      <c r="J16" s="21">
        <f t="shared" si="1"/>
        <v>0</v>
      </c>
      <c r="K16" s="21">
        <f t="shared" si="1"/>
        <v>0</v>
      </c>
      <c r="L16" s="21">
        <f t="shared" ca="1" si="1"/>
        <v>0</v>
      </c>
      <c r="M16" s="21">
        <f t="shared" si="1"/>
        <v>0</v>
      </c>
      <c r="N16" s="21">
        <f t="shared" ca="1" si="1"/>
        <v>0</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0.19570971439196683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2395.7408758701918</v>
      </c>
      <c r="C20" s="23">
        <f t="shared" ref="C20:P20" ca="1" si="2">C16*C18</f>
        <v>0</v>
      </c>
      <c r="D20" s="23">
        <f t="shared" ca="1" si="2"/>
        <v>963.80100164093949</v>
      </c>
      <c r="E20" s="23">
        <f t="shared" si="2"/>
        <v>24.114543866604379</v>
      </c>
      <c r="F20" s="23">
        <f t="shared" ca="1" si="2"/>
        <v>364.794795549024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912.04714496522695</v>
      </c>
      <c r="C26" s="39">
        <f>IF(ISERROR(B26*3.6/1000000/'E Balans VL '!Z12*100),0,B26*3.6/1000000/'E Balans VL '!Z12*100)</f>
        <v>1.9192519649454034E-2</v>
      </c>
      <c r="D26" s="238" t="s">
        <v>720</v>
      </c>
      <c r="F26" s="6"/>
    </row>
    <row r="27" spans="1:18">
      <c r="A27" s="232" t="s">
        <v>53</v>
      </c>
      <c r="B27" s="33">
        <f>IF(ISERROR(TER_horeca_ele_kWh/1000),0,TER_horeca_ele_kWh/1000)</f>
        <v>457.57333164344197</v>
      </c>
      <c r="C27" s="39">
        <f>IF(ISERROR(B27*3.6/1000000/'E Balans VL '!Z9*100),0,B27*3.6/1000000/'E Balans VL '!Z9*100)</f>
        <v>3.8741448221095348E-2</v>
      </c>
      <c r="D27" s="238" t="s">
        <v>720</v>
      </c>
      <c r="F27" s="6"/>
    </row>
    <row r="28" spans="1:18">
      <c r="A28" s="172" t="s">
        <v>52</v>
      </c>
      <c r="B28" s="33">
        <f>IF(ISERROR(TER_handel_ele_kWh/1000),0,TER_handel_ele_kWh/1000)</f>
        <v>2188.3128700268903</v>
      </c>
      <c r="C28" s="39">
        <f>IF(ISERROR(B28*3.6/1000000/'E Balans VL '!Z13*100),0,B28*3.6/1000000/'E Balans VL '!Z13*100)</f>
        <v>6.0583139208879082E-2</v>
      </c>
      <c r="D28" s="238" t="s">
        <v>720</v>
      </c>
      <c r="F28" s="6"/>
    </row>
    <row r="29" spans="1:18">
      <c r="A29" s="232" t="s">
        <v>51</v>
      </c>
      <c r="B29" s="33">
        <f>IF(ISERROR(TER_gezond_ele_kWh/1000),0,TER_gezond_ele_kWh/1000)</f>
        <v>579.06066580817196</v>
      </c>
      <c r="C29" s="39">
        <f>IF(ISERROR(B29*3.6/1000000/'E Balans VL '!Z10*100),0,B29*3.6/1000000/'E Balans VL '!Z10*100)</f>
        <v>7.5271466919118304E-2</v>
      </c>
      <c r="D29" s="238" t="s">
        <v>720</v>
      </c>
      <c r="F29" s="6"/>
    </row>
    <row r="30" spans="1:18">
      <c r="A30" s="232" t="s">
        <v>50</v>
      </c>
      <c r="B30" s="33">
        <f>IF(ISERROR(TER_ander_ele_kWh/1000),0,TER_ander_ele_kWh/1000)</f>
        <v>1443.82920786822</v>
      </c>
      <c r="C30" s="39">
        <f>IF(ISERROR(B30*3.6/1000000/'E Balans VL '!Z14*100),0,B30*3.6/1000000/'E Balans VL '!Z14*100)</f>
        <v>0.11191000453511099</v>
      </c>
      <c r="D30" s="238" t="s">
        <v>720</v>
      </c>
      <c r="F30" s="6"/>
    </row>
    <row r="31" spans="1:18">
      <c r="A31" s="232" t="s">
        <v>55</v>
      </c>
      <c r="B31" s="33">
        <f>IF(ISERROR(TER_onderwijs_ele_kWh/1000),0,TER_onderwijs_ele_kWh/1000)</f>
        <v>36.108129716149598</v>
      </c>
      <c r="C31" s="39">
        <f>IF(ISERROR(B31*3.6/1000000/'E Balans VL '!Z11*100),0,B31*3.6/1000000/'E Balans VL '!Z11*100)</f>
        <v>6.9081004842093587E-3</v>
      </c>
      <c r="D31" s="238" t="s">
        <v>720</v>
      </c>
    </row>
    <row r="32" spans="1:18">
      <c r="A32" s="232" t="s">
        <v>261</v>
      </c>
      <c r="B32" s="33">
        <f>IF(ISERROR(TER_rest_ele_kWh/1000),0,TER_rest_ele_kWh/1000)</f>
        <v>1314.36634596674</v>
      </c>
      <c r="C32" s="39">
        <f>IF(ISERROR(B32*3.6/1000000/'E Balans VL '!Z8*100),0,B32*3.6/1000000/'E Balans VL '!Z8*100)</f>
        <v>1.0837959844868643E-2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23623.010580277434</v>
      </c>
      <c r="C5" s="17">
        <f>IF(ISERROR('Eigen informatie GS &amp; warmtenet'!B59),0,'Eigen informatie GS &amp; warmtenet'!B59)</f>
        <v>0</v>
      </c>
      <c r="D5" s="30">
        <f>SUM(D6:D15)</f>
        <v>28898.27386726256</v>
      </c>
      <c r="E5" s="17">
        <f>SUM(E6:E15)</f>
        <v>217.19445699809279</v>
      </c>
      <c r="F5" s="17">
        <f>SUM(F6:F15)</f>
        <v>4987.5003846466807</v>
      </c>
      <c r="G5" s="18"/>
      <c r="H5" s="17"/>
      <c r="I5" s="17"/>
      <c r="J5" s="17">
        <f>SUM(J6:J15)</f>
        <v>155.31654487417623</v>
      </c>
      <c r="K5" s="17"/>
      <c r="L5" s="17"/>
      <c r="M5" s="17"/>
      <c r="N5" s="17">
        <f>SUM(N6:N15)</f>
        <v>450.59075128408017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473.37783679637499</v>
      </c>
      <c r="C9" s="33"/>
      <c r="D9" s="37">
        <f>IF( ISERROR(IND_andere_gas_kWh/1000),0,IND_andere_gas_kWh/1000)*0.902</f>
        <v>143.84903403659047</v>
      </c>
      <c r="E9" s="33">
        <f>C31*'E Balans VL '!I19/100/3.6*1000000</f>
        <v>7.950960675360573</v>
      </c>
      <c r="F9" s="33">
        <f>C31*'E Balans VL '!L19/100/3.6*1000000+C31*'E Balans VL '!N19/100/3.6*1000000</f>
        <v>370.05983121897845</v>
      </c>
      <c r="G9" s="34"/>
      <c r="H9" s="33"/>
      <c r="I9" s="33"/>
      <c r="J9" s="40">
        <f>C31*'E Balans VL '!D19/100/3.6*1000000+C31*'E Balans VL '!E19/100/3.6*1000000</f>
        <v>4.2694502190657999E-2</v>
      </c>
      <c r="K9" s="33"/>
      <c r="L9" s="33"/>
      <c r="M9" s="33"/>
      <c r="N9" s="33">
        <f>C31*'E Balans VL '!Y19/100/3.6*1000000</f>
        <v>35.084892385388017</v>
      </c>
      <c r="O9" s="33"/>
      <c r="P9" s="33"/>
      <c r="R9" s="32"/>
    </row>
    <row r="10" spans="1:18">
      <c r="A10" s="6" t="s">
        <v>41</v>
      </c>
      <c r="B10" s="37">
        <f t="shared" si="0"/>
        <v>222.07477667235901</v>
      </c>
      <c r="C10" s="33"/>
      <c r="D10" s="37">
        <f>IF( ISERROR(IND_voed_gas_kWh/1000),0,IND_voed_gas_kWh/1000)*0.902</f>
        <v>0</v>
      </c>
      <c r="E10" s="33">
        <f>C32*'E Balans VL '!I20/100/3.6*1000000</f>
        <v>2.026117979189594</v>
      </c>
      <c r="F10" s="33">
        <f>C32*'E Balans VL '!L20/100/3.6*1000000+C32*'E Balans VL '!N20/100/3.6*1000000</f>
        <v>35.827607569766329</v>
      </c>
      <c r="G10" s="34"/>
      <c r="H10" s="33"/>
      <c r="I10" s="33"/>
      <c r="J10" s="40">
        <f>C32*'E Balans VL '!D20/100/3.6*1000000+C32*'E Balans VL '!E20/100/3.6*1000000</f>
        <v>0.91464952960810497</v>
      </c>
      <c r="K10" s="33"/>
      <c r="L10" s="33"/>
      <c r="M10" s="33"/>
      <c r="N10" s="33">
        <f>C32*'E Balans VL '!Y20/100/3.6*1000000</f>
        <v>3.2487788718405319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19.114000000000001</v>
      </c>
      <c r="C12" s="33"/>
      <c r="D12" s="37">
        <f>IF( ISERROR(IND_min_gas_kWh/1000),0,IND_min_gas_kWh/1000)*0.902</f>
        <v>0</v>
      </c>
      <c r="E12" s="33">
        <f>C34*'E Balans VL '!I22/100/3.6*1000000</f>
        <v>0.47408934053751151</v>
      </c>
      <c r="F12" s="33">
        <f>C34*'E Balans VL '!L22/100/3.6*1000000+C34*'E Balans VL '!N22/100/3.6*1000000</f>
        <v>2.0310455164785197</v>
      </c>
      <c r="G12" s="34"/>
      <c r="H12" s="33"/>
      <c r="I12" s="33"/>
      <c r="J12" s="40">
        <f>C34*'E Balans VL '!D22/100/3.6*1000000+C34*'E Balans VL '!E22/100/3.6*1000000</f>
        <v>0.10857873537273184</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22908.4439668087</v>
      </c>
      <c r="C15" s="33"/>
      <c r="D15" s="37">
        <f>IF( ISERROR(IND_rest_gas_kWh/1000),0,IND_rest_gas_kWh/1000)*0.902</f>
        <v>28754.42483322597</v>
      </c>
      <c r="E15" s="33">
        <f>C37*'E Balans VL '!I15/100/3.6*1000000</f>
        <v>206.74328900300512</v>
      </c>
      <c r="F15" s="33">
        <f>C37*'E Balans VL '!L15/100/3.6*1000000+C37*'E Balans VL '!N15/100/3.6*1000000</f>
        <v>4579.5819003414572</v>
      </c>
      <c r="G15" s="34"/>
      <c r="H15" s="33"/>
      <c r="I15" s="33"/>
      <c r="J15" s="40">
        <f>C37*'E Balans VL '!D15/100/3.6*1000000+C37*'E Balans VL '!E15/100/3.6*1000000</f>
        <v>154.25062210700474</v>
      </c>
      <c r="K15" s="33"/>
      <c r="L15" s="33"/>
      <c r="M15" s="33"/>
      <c r="N15" s="33">
        <f>C37*'E Balans VL '!Y15/100/3.6*1000000</f>
        <v>412.25708002685161</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23623.010580277434</v>
      </c>
      <c r="C18" s="21">
        <f>C5+C16</f>
        <v>0</v>
      </c>
      <c r="D18" s="21">
        <f>MAX((D5+D16),0)</f>
        <v>28898.27386726256</v>
      </c>
      <c r="E18" s="21">
        <f>MAX((E5+E16),0)</f>
        <v>217.19445699809279</v>
      </c>
      <c r="F18" s="21">
        <f>MAX((F5+F16),0)</f>
        <v>4987.5003846466807</v>
      </c>
      <c r="G18" s="21"/>
      <c r="H18" s="21"/>
      <c r="I18" s="21"/>
      <c r="J18" s="21">
        <f>MAX((J5+J16),0)</f>
        <v>155.31654487417623</v>
      </c>
      <c r="K18" s="21"/>
      <c r="L18" s="21">
        <f>MAX((L5+L16),0)</f>
        <v>0</v>
      </c>
      <c r="M18" s="21"/>
      <c r="N18" s="21">
        <f>MAX((N5+N16),0)</f>
        <v>450.59075128408017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0.19570971439196683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4623.2526537445074</v>
      </c>
      <c r="C22" s="23">
        <f ca="1">C18*C20</f>
        <v>0</v>
      </c>
      <c r="D22" s="23">
        <f>D18*D20</f>
        <v>5837.4513211870371</v>
      </c>
      <c r="E22" s="23">
        <f>E18*E20</f>
        <v>49.303141738567064</v>
      </c>
      <c r="F22" s="23">
        <f>F18*F20</f>
        <v>1331.6626027006639</v>
      </c>
      <c r="G22" s="23"/>
      <c r="H22" s="23"/>
      <c r="I22" s="23"/>
      <c r="J22" s="23">
        <f>J18*J20</f>
        <v>54.982056885458384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0</v>
      </c>
      <c r="C30" s="39">
        <f>IF(ISERROR(B30*3.6/1000000/'E Balans VL '!Z18*100),0,B30*3.6/1000000/'E Balans VL '!Z18*100)</f>
        <v>0</v>
      </c>
      <c r="D30" s="238" t="s">
        <v>720</v>
      </c>
    </row>
    <row r="31" spans="1:18">
      <c r="A31" s="6" t="s">
        <v>33</v>
      </c>
      <c r="B31" s="37">
        <f>IF( ISERROR(IND_ander_ele_kWh/1000),0,IND_ander_ele_kWh/1000)</f>
        <v>473.37783679637499</v>
      </c>
      <c r="C31" s="39">
        <f>IF(ISERROR(B31*3.6/1000000/'E Balans VL '!Z19*100),0,B31*3.6/1000000/'E Balans VL '!Z19*100)</f>
        <v>2.0982963533975264E-2</v>
      </c>
      <c r="D31" s="238" t="s">
        <v>720</v>
      </c>
    </row>
    <row r="32" spans="1:18">
      <c r="A32" s="172" t="s">
        <v>41</v>
      </c>
      <c r="B32" s="37">
        <f>IF( ISERROR(IND_voed_ele_kWh/1000),0,IND_voed_ele_kWh/1000)</f>
        <v>222.07477667235901</v>
      </c>
      <c r="C32" s="39">
        <f>IF(ISERROR(B32*3.6/1000000/'E Balans VL '!Z20*100),0,B32*3.6/1000000/'E Balans VL '!Z20*100)</f>
        <v>7.417934590940669E-3</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19.114000000000001</v>
      </c>
      <c r="C34" s="39">
        <f>IF(ISERROR(B34*3.6/1000000/'E Balans VL '!Z22*100),0,B34*3.6/1000000/'E Balans VL '!Z22*100)</f>
        <v>3.7174630446445843E-3</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22908.4439668087</v>
      </c>
      <c r="C37" s="39">
        <f>IF(ISERROR(B37*3.6/1000000/'E Balans VL '!Z15*100),0,B37*3.6/1000000/'E Balans VL '!Z15*100)</f>
        <v>0.1704015020654206</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1299.7741449470034</v>
      </c>
      <c r="C5" s="17">
        <f>'Eigen informatie GS &amp; warmtenet'!B60</f>
        <v>0</v>
      </c>
      <c r="D5" s="30">
        <f>IF(ISERROR(SUM(LB_lb_gas_kWh,LB_rest_gas_kWh,onbekend_gas_kWh)/1000),0,SUM(LB_lb_gas_kWh,LB_rest_gas_kWh,onbekend_gas_kWh)/1000)*0.902</f>
        <v>818.12314595892326</v>
      </c>
      <c r="E5" s="17">
        <f>B17*'E Balans VL '!I25/3.6*1000000/100</f>
        <v>13.611516235512399</v>
      </c>
      <c r="F5" s="17">
        <f>B17*('E Balans VL '!L25/3.6*1000000+'E Balans VL '!N25/3.6*1000000)/100</f>
        <v>6675.8469640339581</v>
      </c>
      <c r="G5" s="18"/>
      <c r="H5" s="17"/>
      <c r="I5" s="17"/>
      <c r="J5" s="17">
        <f>('E Balans VL '!D25+'E Balans VL '!E25)/3.6*1000000*landbouw!B17/100</f>
        <v>116.08148121817489</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1299.7741449470034</v>
      </c>
      <c r="C8" s="21">
        <f>C5+C6</f>
        <v>0</v>
      </c>
      <c r="D8" s="21">
        <f>MAX((D5+D6),0)</f>
        <v>818.12314595892326</v>
      </c>
      <c r="E8" s="21">
        <f>MAX((E5+E6),0)</f>
        <v>13.611516235512399</v>
      </c>
      <c r="F8" s="21">
        <f>MAX((F5+F6),0)</f>
        <v>6675.8469640339581</v>
      </c>
      <c r="G8" s="21"/>
      <c r="H8" s="21"/>
      <c r="I8" s="21"/>
      <c r="J8" s="21">
        <f>MAX((J5+J6),0)</f>
        <v>116.08148121817489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0.19570971439196683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254.37842668164092</v>
      </c>
      <c r="C12" s="23">
        <f ca="1">C8*C10</f>
        <v>0</v>
      </c>
      <c r="D12" s="23">
        <f>D8*D10</f>
        <v>165.26087548370251</v>
      </c>
      <c r="E12" s="23">
        <f>E8*E10</f>
        <v>3.0898141854613148</v>
      </c>
      <c r="F12" s="23">
        <f>F8*F10</f>
        <v>1782.451139397067</v>
      </c>
      <c r="G12" s="23"/>
      <c r="H12" s="23"/>
      <c r="I12" s="23"/>
      <c r="J12" s="23">
        <f>J8*J10</f>
        <v>41.092844351233907</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0.20006033118498542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129.31065683059757</v>
      </c>
      <c r="C26" s="248">
        <f>B26*'GWP N2O_CH4'!B5</f>
        <v>2715.523793442549</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16.637703108493199</v>
      </c>
      <c r="C27" s="248">
        <f>B27*'GWP N2O_CH4'!B5</f>
        <v>349.39176527835718</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1.8563831272480351</v>
      </c>
      <c r="C28" s="248">
        <f>B28*'GWP N2O_CH4'!B4</f>
        <v>575.47876944689085</v>
      </c>
      <c r="D28" s="50"/>
    </row>
    <row r="29" spans="1:4">
      <c r="A29" s="41" t="s">
        <v>278</v>
      </c>
      <c r="B29" s="248">
        <f>B34*'ha_N2O bodem landbouw'!B4</f>
        <v>13.009752180959575</v>
      </c>
      <c r="C29" s="248">
        <f>B29*'GWP N2O_CH4'!B4</f>
        <v>4033.0231760974684</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2.1500324140433101E-3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3.0210370305604269E-6</v>
      </c>
      <c r="C5" s="446" t="s">
        <v>212</v>
      </c>
      <c r="D5" s="431">
        <f>SUM(D6:D11)</f>
        <v>1.5831398995654971E-5</v>
      </c>
      <c r="E5" s="431">
        <f>SUM(E6:E11)</f>
        <v>1.8280851661993101E-3</v>
      </c>
      <c r="F5" s="444" t="s">
        <v>212</v>
      </c>
      <c r="G5" s="431">
        <f>SUM(G6:G11)</f>
        <v>0.31022065715666425</v>
      </c>
      <c r="H5" s="431">
        <f>SUM(H6:H11)</f>
        <v>5.4158191195427509E-2</v>
      </c>
      <c r="I5" s="446" t="s">
        <v>212</v>
      </c>
      <c r="J5" s="446" t="s">
        <v>212</v>
      </c>
      <c r="K5" s="446" t="s">
        <v>212</v>
      </c>
      <c r="L5" s="446" t="s">
        <v>212</v>
      </c>
      <c r="M5" s="431">
        <f>SUM(M6:M11)</f>
        <v>1.5901674222391571E-2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3.0899960124748938E-7</v>
      </c>
      <c r="C6" s="432"/>
      <c r="D6" s="432">
        <f>vkm_2011_GW_PW*SUMIFS(TableVerdeelsleutelVkm[CNG],TableVerdeelsleutelVkm[Voertuigtype],"Lichte voertuigen")*SUMIFS(TableECFTransport[EnergieConsumptieFactor (PJ per km)],TableECFTransport[Index],CONCATENATE($A6,"_CNG_CNG"))</f>
        <v>1.3320613629039349E-6</v>
      </c>
      <c r="E6" s="434">
        <f>vkm_2011_GW_PW*SUMIFS(TableVerdeelsleutelVkm[LPG],TableVerdeelsleutelVkm[Voertuigtype],"Lichte voertuigen")*SUMIFS(TableECFTransport[EnergieConsumptieFactor (PJ per km)],TableECFTransport[Index],CONCATENATE($A6,"_LPG_LPG"))</f>
        <v>1.3859281145317504E-4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1.7047296284659636E-2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4.488199840287802E-3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9.4378868532019652E-4</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6.3733969046446022E-3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2.1853494783164741E-6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2.7531880460566154E-4</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7.3033199947858383E-7</v>
      </c>
      <c r="C8" s="432"/>
      <c r="D8" s="434">
        <f>vkm_2011_NGW_PW*SUMIFS(TableVerdeelsleutelVkm[CNG],TableVerdeelsleutelVkm[Voertuigtype],"Lichte voertuigen")*SUMIFS(TableECFTransport[EnergieConsumptieFactor (PJ per km)],TableECFTransport[Index],CONCATENATE($A8,"_CNG_CNG"))</f>
        <v>5.6482638677611473E-6</v>
      </c>
      <c r="E8" s="434">
        <f>vkm_2011_NGW_PW*SUMIFS(TableVerdeelsleutelVkm[LPG],TableVerdeelsleutelVkm[Voertuigtype],"Lichte voertuigen")*SUMIFS(TableECFTransport[EnergieConsumptieFactor (PJ per km)],TableECFTransport[Index],CONCATENATE($A8,"_LPG_LPG"))</f>
        <v>5.365837391671616E-4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6.2600704609705321E-2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1.8166442817812784E-2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3.5437157837166751E-3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1.2905211113219739E-2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3.8441233568085918E-6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5.5745406465775992E-4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1.9817054298343538E-6</v>
      </c>
      <c r="C10" s="432"/>
      <c r="D10" s="434">
        <f>vkm_2011_SW_PW*SUMIFS(TableVerdeelsleutelVkm[CNG],TableVerdeelsleutelVkm[Voertuigtype],"Lichte voertuigen")*SUMIFS(TableECFTransport[EnergieConsumptieFactor (PJ per km)],TableECFTransport[Index],CONCATENATE($A10,"_CNG_CNG"))</f>
        <v>8.8510737649898901E-6</v>
      </c>
      <c r="E10" s="434">
        <f>vkm_2011_SW_PW*SUMIFS(TableVerdeelsleutelVkm[LPG],TableVerdeelsleutelVkm[Voertuigtype],"Lichte voertuigen")*SUMIFS(TableECFTransport[EnergieConsumptieFactor (PJ per km)],TableECFTransport[Index],CONCATENATE($A10,"_LPG_LPG"))</f>
        <v>1.1529086155789734E-3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0.13037252082819489</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3.1467914280836777E-2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7.0856525634652202E-3</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8.0921527416240036E-2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2.9604783655017177E-5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3.4957443206260581E-3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0.83917695293345196</v>
      </c>
      <c r="C14" s="21"/>
      <c r="D14" s="21">
        <f t="shared" ref="D14:M14" si="0">((D5)*10^9/3600)+D12</f>
        <v>4.3976108321263805</v>
      </c>
      <c r="E14" s="21">
        <f t="shared" si="0"/>
        <v>507.80143505536387</v>
      </c>
      <c r="F14" s="21"/>
      <c r="G14" s="21">
        <f t="shared" si="0"/>
        <v>86172.404765740066</v>
      </c>
      <c r="H14" s="21">
        <f t="shared" si="0"/>
        <v>15043.941998729862</v>
      </c>
      <c r="I14" s="21"/>
      <c r="J14" s="21"/>
      <c r="K14" s="21"/>
      <c r="L14" s="21"/>
      <c r="M14" s="21">
        <f t="shared" si="0"/>
        <v>4417.1317284421029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0.19570971439196683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0.16423508178292687</v>
      </c>
      <c r="C18" s="23"/>
      <c r="D18" s="23">
        <f t="shared" ref="D18:M18" si="1">D14*D16</f>
        <v>0.88831738808952887</v>
      </c>
      <c r="E18" s="23">
        <f t="shared" si="1"/>
        <v>115.2709257575676</v>
      </c>
      <c r="F18" s="23"/>
      <c r="G18" s="23">
        <f t="shared" si="1"/>
        <v>23008.032072452599</v>
      </c>
      <c r="H18" s="23">
        <f t="shared" si="1"/>
        <v>3745.9415576837359</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2.944232092232183E-3</v>
      </c>
      <c r="H50" s="322">
        <f t="shared" si="2"/>
        <v>0</v>
      </c>
      <c r="I50" s="322">
        <f t="shared" si="2"/>
        <v>0</v>
      </c>
      <c r="J50" s="322">
        <f t="shared" si="2"/>
        <v>0</v>
      </c>
      <c r="K50" s="322">
        <f t="shared" si="2"/>
        <v>0</v>
      </c>
      <c r="L50" s="322">
        <f t="shared" si="2"/>
        <v>0</v>
      </c>
      <c r="M50" s="322">
        <f t="shared" si="2"/>
        <v>1.2549982294452605E-4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2.944232092232183E-3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1.2549982294452605E-4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817.84224784227308</v>
      </c>
      <c r="H54" s="21">
        <f t="shared" si="3"/>
        <v>0</v>
      </c>
      <c r="I54" s="21">
        <f t="shared" si="3"/>
        <v>0</v>
      </c>
      <c r="J54" s="21">
        <f t="shared" si="3"/>
        <v>0</v>
      </c>
      <c r="K54" s="21">
        <f t="shared" si="3"/>
        <v>0</v>
      </c>
      <c r="L54" s="21">
        <f t="shared" si="3"/>
        <v>0</v>
      </c>
      <c r="M54" s="21">
        <f t="shared" si="3"/>
        <v>34.861061929035017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0.19570971439196683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218.36388017388691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3"/>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1558.4350439932332</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5310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15171.428571428572</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6868.4350439932332</v>
      </c>
      <c r="C9" s="578">
        <f t="shared" ref="C9:L9" si="0">SUM(C7:C8)</f>
        <v>0</v>
      </c>
      <c r="D9" s="578">
        <f t="shared" si="0"/>
        <v>0</v>
      </c>
      <c r="E9" s="578">
        <f t="shared" si="0"/>
        <v>0</v>
      </c>
      <c r="F9" s="578">
        <f t="shared" si="0"/>
        <v>0</v>
      </c>
      <c r="G9" s="578">
        <f t="shared" si="0"/>
        <v>0</v>
      </c>
      <c r="H9" s="578">
        <f t="shared" si="0"/>
        <v>0</v>
      </c>
      <c r="I9" s="578">
        <f t="shared" si="0"/>
        <v>0</v>
      </c>
      <c r="J9" s="578">
        <f t="shared" si="0"/>
        <v>15171.428571428572</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63.75">
      <c r="A63" s="610"/>
      <c r="B63" s="839">
        <v>41063</v>
      </c>
      <c r="C63" s="839">
        <v>9520</v>
      </c>
      <c r="D63" s="658" t="s">
        <v>894</v>
      </c>
      <c r="E63" s="658" t="s">
        <v>895</v>
      </c>
      <c r="F63" s="658" t="s">
        <v>896</v>
      </c>
      <c r="G63" s="658" t="s">
        <v>897</v>
      </c>
      <c r="H63" s="658" t="s">
        <v>898</v>
      </c>
      <c r="I63" s="658" t="s">
        <v>899</v>
      </c>
      <c r="J63" s="838">
        <v>37288</v>
      </c>
      <c r="K63" s="838">
        <v>37408</v>
      </c>
      <c r="L63" s="658" t="s">
        <v>900</v>
      </c>
      <c r="M63" s="658">
        <v>1180</v>
      </c>
      <c r="N63" s="658">
        <v>5310</v>
      </c>
      <c r="O63" s="658">
        <v>0</v>
      </c>
      <c r="P63" s="658">
        <v>0</v>
      </c>
      <c r="Q63" s="658">
        <v>0</v>
      </c>
      <c r="R63" s="658">
        <v>15171.428571428572</v>
      </c>
      <c r="S63" s="658">
        <v>0</v>
      </c>
      <c r="T63" s="658">
        <v>0</v>
      </c>
      <c r="U63" s="658">
        <v>0</v>
      </c>
      <c r="V63" s="658">
        <v>0</v>
      </c>
      <c r="W63" s="658">
        <v>0</v>
      </c>
      <c r="X63" s="658">
        <v>1600</v>
      </c>
      <c r="Y63" s="658" t="s">
        <v>50</v>
      </c>
      <c r="Z63" s="659" t="s">
        <v>156</v>
      </c>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1180</v>
      </c>
      <c r="N88" s="613">
        <f t="shared" ref="N88:W88" si="5">SUM(N63:N87)</f>
        <v>5310</v>
      </c>
      <c r="O88" s="613">
        <f t="shared" si="5"/>
        <v>0</v>
      </c>
      <c r="P88" s="613">
        <f t="shared" si="5"/>
        <v>0</v>
      </c>
      <c r="Q88" s="613">
        <f t="shared" si="5"/>
        <v>0</v>
      </c>
      <c r="R88" s="613">
        <f t="shared" si="5"/>
        <v>15171.428571428572</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1180</v>
      </c>
      <c r="N90" s="613">
        <f t="shared" ref="N90:W90" si="7">SUMIF($Z$63:$Z$88,"tertiair",N63:N88)</f>
        <v>5310</v>
      </c>
      <c r="O90" s="613">
        <f t="shared" si="7"/>
        <v>0</v>
      </c>
      <c r="P90" s="613">
        <f t="shared" si="7"/>
        <v>0</v>
      </c>
      <c r="Q90" s="613">
        <f t="shared" si="7"/>
        <v>0</v>
      </c>
      <c r="R90" s="613">
        <f t="shared" si="7"/>
        <v>15171.428571428572</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12865.309695994842</v>
      </c>
      <c r="D10" s="702">
        <f ca="1">tertiair!C16</f>
        <v>0</v>
      </c>
      <c r="E10" s="702">
        <f ca="1">tertiair!D16</f>
        <v>4771.2920873313833</v>
      </c>
      <c r="F10" s="702">
        <f>tertiair!E16</f>
        <v>106.23147077799285</v>
      </c>
      <c r="G10" s="702">
        <f ca="1">tertiair!F16</f>
        <v>1366.2726425057078</v>
      </c>
      <c r="H10" s="702">
        <f>tertiair!G16</f>
        <v>0</v>
      </c>
      <c r="I10" s="702">
        <f>tertiair!H16</f>
        <v>0</v>
      </c>
      <c r="J10" s="702">
        <f>tertiair!I16</f>
        <v>0</v>
      </c>
      <c r="K10" s="702">
        <f>tertiair!J16</f>
        <v>0</v>
      </c>
      <c r="L10" s="702">
        <f>tertiair!K16</f>
        <v>0</v>
      </c>
      <c r="M10" s="702">
        <f ca="1">tertiair!L16</f>
        <v>0</v>
      </c>
      <c r="N10" s="702">
        <f>tertiair!M16</f>
        <v>0</v>
      </c>
      <c r="O10" s="702">
        <f ca="1">tertiair!N16</f>
        <v>0</v>
      </c>
      <c r="P10" s="702">
        <f>tertiair!O16</f>
        <v>0</v>
      </c>
      <c r="Q10" s="703">
        <f>tertiair!P16</f>
        <v>0</v>
      </c>
      <c r="R10" s="705">
        <f ca="1">SUM(C10:Q10)</f>
        <v>19109.105896609923</v>
      </c>
      <c r="S10" s="67"/>
    </row>
    <row r="11" spans="1:19" s="457" customFormat="1">
      <c r="A11" s="858" t="s">
        <v>226</v>
      </c>
      <c r="B11" s="863"/>
      <c r="C11" s="702">
        <f>huishoudens!B8</f>
        <v>22231.113950849991</v>
      </c>
      <c r="D11" s="702">
        <f>huishoudens!C8</f>
        <v>0</v>
      </c>
      <c r="E11" s="702">
        <f>huishoudens!D8</f>
        <v>24617.567327347824</v>
      </c>
      <c r="F11" s="702">
        <f>huishoudens!E8</f>
        <v>2440.3758176631777</v>
      </c>
      <c r="G11" s="702">
        <f>huishoudens!F8</f>
        <v>23768.915149126809</v>
      </c>
      <c r="H11" s="702">
        <f>huishoudens!G8</f>
        <v>0</v>
      </c>
      <c r="I11" s="702">
        <f>huishoudens!H8</f>
        <v>0</v>
      </c>
      <c r="J11" s="702">
        <f>huishoudens!I8</f>
        <v>0</v>
      </c>
      <c r="K11" s="702">
        <f>huishoudens!J8</f>
        <v>7131.3516216838962</v>
      </c>
      <c r="L11" s="702">
        <f>huishoudens!K8</f>
        <v>0</v>
      </c>
      <c r="M11" s="702">
        <f>huishoudens!L8</f>
        <v>0</v>
      </c>
      <c r="N11" s="702">
        <f>huishoudens!M8</f>
        <v>0</v>
      </c>
      <c r="O11" s="702">
        <f>huishoudens!N8</f>
        <v>6398.8898349134906</v>
      </c>
      <c r="P11" s="702">
        <f>huishoudens!O8</f>
        <v>65.660000000000011</v>
      </c>
      <c r="Q11" s="703">
        <f>huishoudens!P8</f>
        <v>286</v>
      </c>
      <c r="R11" s="705">
        <f>SUM(C11:Q11)</f>
        <v>86939.873701585195</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23623.010580277434</v>
      </c>
      <c r="D13" s="702">
        <f>industrie!C18</f>
        <v>0</v>
      </c>
      <c r="E13" s="702">
        <f>industrie!D18</f>
        <v>28898.27386726256</v>
      </c>
      <c r="F13" s="702">
        <f>industrie!E18</f>
        <v>217.19445699809279</v>
      </c>
      <c r="G13" s="702">
        <f>industrie!F18</f>
        <v>4987.5003846466807</v>
      </c>
      <c r="H13" s="702">
        <f>industrie!G18</f>
        <v>0</v>
      </c>
      <c r="I13" s="702">
        <f>industrie!H18</f>
        <v>0</v>
      </c>
      <c r="J13" s="702">
        <f>industrie!I18</f>
        <v>0</v>
      </c>
      <c r="K13" s="702">
        <f>industrie!J18</f>
        <v>155.31654487417623</v>
      </c>
      <c r="L13" s="702">
        <f>industrie!K18</f>
        <v>0</v>
      </c>
      <c r="M13" s="702">
        <f>industrie!L18</f>
        <v>0</v>
      </c>
      <c r="N13" s="702">
        <f>industrie!M18</f>
        <v>0</v>
      </c>
      <c r="O13" s="702">
        <f>industrie!N18</f>
        <v>450.59075128408017</v>
      </c>
      <c r="P13" s="702">
        <f>industrie!O18</f>
        <v>0</v>
      </c>
      <c r="Q13" s="703">
        <f>industrie!P18</f>
        <v>0</v>
      </c>
      <c r="R13" s="705">
        <f>SUM(C13:Q13)</f>
        <v>58331.886585343018</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58719.43422712227</v>
      </c>
      <c r="D15" s="707">
        <f t="shared" ref="D15:Q15" ca="1" si="0">SUM(D9:D14)</f>
        <v>0</v>
      </c>
      <c r="E15" s="707">
        <f t="shared" ca="1" si="0"/>
        <v>58287.133281941773</v>
      </c>
      <c r="F15" s="707">
        <f t="shared" si="0"/>
        <v>2763.8017454392634</v>
      </c>
      <c r="G15" s="707">
        <f t="shared" ca="1" si="0"/>
        <v>30122.688176279196</v>
      </c>
      <c r="H15" s="707">
        <f t="shared" si="0"/>
        <v>0</v>
      </c>
      <c r="I15" s="707">
        <f t="shared" si="0"/>
        <v>0</v>
      </c>
      <c r="J15" s="707">
        <f t="shared" si="0"/>
        <v>0</v>
      </c>
      <c r="K15" s="707">
        <f t="shared" si="0"/>
        <v>7286.6681665580727</v>
      </c>
      <c r="L15" s="707">
        <f t="shared" si="0"/>
        <v>0</v>
      </c>
      <c r="M15" s="707">
        <f t="shared" ca="1" si="0"/>
        <v>0</v>
      </c>
      <c r="N15" s="707">
        <f t="shared" si="0"/>
        <v>0</v>
      </c>
      <c r="O15" s="707">
        <f t="shared" ca="1" si="0"/>
        <v>6849.480586197571</v>
      </c>
      <c r="P15" s="707">
        <f t="shared" si="0"/>
        <v>65.660000000000011</v>
      </c>
      <c r="Q15" s="708">
        <f t="shared" si="0"/>
        <v>286</v>
      </c>
      <c r="R15" s="709">
        <f ca="1">SUM(R9:R14)</f>
        <v>164380.86618353814</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817.84224784227308</v>
      </c>
      <c r="I18" s="702">
        <f>transport!H54</f>
        <v>0</v>
      </c>
      <c r="J18" s="702">
        <f>transport!I54</f>
        <v>0</v>
      </c>
      <c r="K18" s="702">
        <f>transport!J54</f>
        <v>0</v>
      </c>
      <c r="L18" s="702">
        <f>transport!K54</f>
        <v>0</v>
      </c>
      <c r="M18" s="702">
        <f>transport!L54</f>
        <v>0</v>
      </c>
      <c r="N18" s="702">
        <f>transport!M54</f>
        <v>34.861061929035017</v>
      </c>
      <c r="O18" s="702">
        <f>transport!N54</f>
        <v>0</v>
      </c>
      <c r="P18" s="702">
        <f>transport!O54</f>
        <v>0</v>
      </c>
      <c r="Q18" s="703">
        <f>transport!P54</f>
        <v>0</v>
      </c>
      <c r="R18" s="705">
        <f>SUM(C18:Q18)</f>
        <v>852.70330977130811</v>
      </c>
      <c r="S18" s="67"/>
    </row>
    <row r="19" spans="1:19" s="457" customFormat="1" ht="15" thickBot="1">
      <c r="A19" s="858" t="s">
        <v>308</v>
      </c>
      <c r="B19" s="863"/>
      <c r="C19" s="711">
        <f>transport!B14</f>
        <v>0.83917695293345196</v>
      </c>
      <c r="D19" s="711">
        <f>transport!C14</f>
        <v>0</v>
      </c>
      <c r="E19" s="711">
        <f>transport!D14</f>
        <v>4.3976108321263805</v>
      </c>
      <c r="F19" s="711">
        <f>transport!E14</f>
        <v>507.80143505536387</v>
      </c>
      <c r="G19" s="711">
        <f>transport!F14</f>
        <v>0</v>
      </c>
      <c r="H19" s="711">
        <f>transport!G14</f>
        <v>86172.404765740066</v>
      </c>
      <c r="I19" s="711">
        <f>transport!H14</f>
        <v>15043.941998729862</v>
      </c>
      <c r="J19" s="711">
        <f>transport!I14</f>
        <v>0</v>
      </c>
      <c r="K19" s="711">
        <f>transport!J14</f>
        <v>0</v>
      </c>
      <c r="L19" s="711">
        <f>transport!K14</f>
        <v>0</v>
      </c>
      <c r="M19" s="711">
        <f>transport!L14</f>
        <v>0</v>
      </c>
      <c r="N19" s="711">
        <f>transport!M14</f>
        <v>4417.1317284421029</v>
      </c>
      <c r="O19" s="711">
        <f>transport!N14</f>
        <v>0</v>
      </c>
      <c r="P19" s="711">
        <f>transport!O14</f>
        <v>0</v>
      </c>
      <c r="Q19" s="712">
        <f>transport!P14</f>
        <v>0</v>
      </c>
      <c r="R19" s="713">
        <f>SUM(C19:Q19)</f>
        <v>106146.51671575246</v>
      </c>
      <c r="S19" s="67"/>
    </row>
    <row r="20" spans="1:19" s="457" customFormat="1" ht="15.75" thickBot="1">
      <c r="A20" s="714" t="s">
        <v>231</v>
      </c>
      <c r="B20" s="866"/>
      <c r="C20" s="861">
        <f>SUM(C17:C19)</f>
        <v>0.83917695293345196</v>
      </c>
      <c r="D20" s="715">
        <f t="shared" ref="D20:R20" si="1">SUM(D17:D19)</f>
        <v>0</v>
      </c>
      <c r="E20" s="715">
        <f t="shared" si="1"/>
        <v>4.3976108321263805</v>
      </c>
      <c r="F20" s="715">
        <f t="shared" si="1"/>
        <v>507.80143505536387</v>
      </c>
      <c r="G20" s="715">
        <f t="shared" si="1"/>
        <v>0</v>
      </c>
      <c r="H20" s="715">
        <f t="shared" si="1"/>
        <v>86990.247013582339</v>
      </c>
      <c r="I20" s="715">
        <f t="shared" si="1"/>
        <v>15043.941998729862</v>
      </c>
      <c r="J20" s="715">
        <f t="shared" si="1"/>
        <v>0</v>
      </c>
      <c r="K20" s="715">
        <f t="shared" si="1"/>
        <v>0</v>
      </c>
      <c r="L20" s="715">
        <f t="shared" si="1"/>
        <v>0</v>
      </c>
      <c r="M20" s="715">
        <f t="shared" si="1"/>
        <v>0</v>
      </c>
      <c r="N20" s="715">
        <f t="shared" si="1"/>
        <v>4451.9927903711377</v>
      </c>
      <c r="O20" s="715">
        <f t="shared" si="1"/>
        <v>0</v>
      </c>
      <c r="P20" s="715">
        <f t="shared" si="1"/>
        <v>0</v>
      </c>
      <c r="Q20" s="716">
        <f t="shared" si="1"/>
        <v>0</v>
      </c>
      <c r="R20" s="717">
        <f t="shared" si="1"/>
        <v>106999.22002552377</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1299.7741449470034</v>
      </c>
      <c r="D22" s="711">
        <f>+landbouw!C8</f>
        <v>0</v>
      </c>
      <c r="E22" s="711">
        <f>+landbouw!D8</f>
        <v>818.12314595892326</v>
      </c>
      <c r="F22" s="711">
        <f>+landbouw!E8</f>
        <v>13.611516235512399</v>
      </c>
      <c r="G22" s="711">
        <f>+landbouw!F8</f>
        <v>6675.8469640339581</v>
      </c>
      <c r="H22" s="711">
        <f>+landbouw!G8</f>
        <v>0</v>
      </c>
      <c r="I22" s="711">
        <f>+landbouw!H8</f>
        <v>0</v>
      </c>
      <c r="J22" s="711">
        <f>+landbouw!I8</f>
        <v>0</v>
      </c>
      <c r="K22" s="711">
        <f>+landbouw!J8</f>
        <v>116.08148121817489</v>
      </c>
      <c r="L22" s="711">
        <f>+landbouw!K8</f>
        <v>0</v>
      </c>
      <c r="M22" s="711">
        <f>+landbouw!L8</f>
        <v>0</v>
      </c>
      <c r="N22" s="711">
        <f>+landbouw!M8</f>
        <v>0</v>
      </c>
      <c r="O22" s="711">
        <f>+landbouw!N8</f>
        <v>0</v>
      </c>
      <c r="P22" s="711">
        <f>+landbouw!O8</f>
        <v>0</v>
      </c>
      <c r="Q22" s="712">
        <f>+landbouw!P8</f>
        <v>0</v>
      </c>
      <c r="R22" s="713">
        <f>SUM(C22:Q22)</f>
        <v>8923.4372523935708</v>
      </c>
      <c r="S22" s="67"/>
    </row>
    <row r="23" spans="1:19" s="457" customFormat="1" ht="17.25" thickTop="1" thickBot="1">
      <c r="A23" s="718" t="s">
        <v>116</v>
      </c>
      <c r="B23" s="852"/>
      <c r="C23" s="719">
        <f ca="1">C20+C15+C22</f>
        <v>60020.047549022209</v>
      </c>
      <c r="D23" s="719">
        <f t="shared" ref="D23:Q23" ca="1" si="2">D20+D15+D22</f>
        <v>0</v>
      </c>
      <c r="E23" s="719">
        <f t="shared" ca="1" si="2"/>
        <v>59109.654038732828</v>
      </c>
      <c r="F23" s="719">
        <f t="shared" si="2"/>
        <v>3285.2146967301396</v>
      </c>
      <c r="G23" s="719">
        <f t="shared" ca="1" si="2"/>
        <v>36798.535140313157</v>
      </c>
      <c r="H23" s="719">
        <f t="shared" si="2"/>
        <v>86990.247013582339</v>
      </c>
      <c r="I23" s="719">
        <f t="shared" si="2"/>
        <v>15043.941998729862</v>
      </c>
      <c r="J23" s="719">
        <f t="shared" si="2"/>
        <v>0</v>
      </c>
      <c r="K23" s="719">
        <f t="shared" si="2"/>
        <v>7402.7496477762479</v>
      </c>
      <c r="L23" s="719">
        <f t="shared" si="2"/>
        <v>0</v>
      </c>
      <c r="M23" s="719">
        <f t="shared" ca="1" si="2"/>
        <v>0</v>
      </c>
      <c r="N23" s="719">
        <f t="shared" si="2"/>
        <v>4451.9927903711377</v>
      </c>
      <c r="O23" s="719">
        <f t="shared" ca="1" si="2"/>
        <v>6849.480586197571</v>
      </c>
      <c r="P23" s="719">
        <f t="shared" si="2"/>
        <v>65.660000000000011</v>
      </c>
      <c r="Q23" s="720">
        <f t="shared" si="2"/>
        <v>286</v>
      </c>
      <c r="R23" s="721">
        <f ca="1">R20+R15+R22</f>
        <v>280303.52346145548</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2517.8660861673516</v>
      </c>
      <c r="D36" s="702">
        <f ca="1">tertiair!C20</f>
        <v>0</v>
      </c>
      <c r="E36" s="702">
        <f ca="1">tertiair!D20</f>
        <v>963.80100164093949</v>
      </c>
      <c r="F36" s="702">
        <f>tertiair!E20</f>
        <v>24.114543866604379</v>
      </c>
      <c r="G36" s="702">
        <f ca="1">tertiair!F20</f>
        <v>364.794795549024</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3870.5764272239194</v>
      </c>
    </row>
    <row r="37" spans="1:18">
      <c r="A37" s="873" t="s">
        <v>226</v>
      </c>
      <c r="B37" s="880"/>
      <c r="C37" s="702">
        <f ca="1">huishoudens!B12</f>
        <v>4350.8449619361209</v>
      </c>
      <c r="D37" s="702">
        <f ca="1">huishoudens!C12</f>
        <v>0</v>
      </c>
      <c r="E37" s="702">
        <f>huishoudens!D12</f>
        <v>4972.7486001242605</v>
      </c>
      <c r="F37" s="702">
        <f>huishoudens!E12</f>
        <v>553.96531060954135</v>
      </c>
      <c r="G37" s="702">
        <f>huishoudens!F12</f>
        <v>6346.3003448168583</v>
      </c>
      <c r="H37" s="702">
        <f>huishoudens!G12</f>
        <v>0</v>
      </c>
      <c r="I37" s="702">
        <f>huishoudens!H12</f>
        <v>0</v>
      </c>
      <c r="J37" s="702">
        <f>huishoudens!I12</f>
        <v>0</v>
      </c>
      <c r="K37" s="702">
        <f>huishoudens!J12</f>
        <v>2524.4984740760992</v>
      </c>
      <c r="L37" s="702">
        <f>huishoudens!K12</f>
        <v>0</v>
      </c>
      <c r="M37" s="702">
        <f>huishoudens!L12</f>
        <v>0</v>
      </c>
      <c r="N37" s="702">
        <f>huishoudens!M12</f>
        <v>0</v>
      </c>
      <c r="O37" s="702">
        <f>huishoudens!N12</f>
        <v>0</v>
      </c>
      <c r="P37" s="702">
        <f>huishoudens!O12</f>
        <v>0</v>
      </c>
      <c r="Q37" s="812">
        <f>huishoudens!P12</f>
        <v>0</v>
      </c>
      <c r="R37" s="905">
        <f ca="1">SUM(C37:Q37)</f>
        <v>18748.35769156288</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4623.2526537445074</v>
      </c>
      <c r="D39" s="702">
        <f ca="1">industrie!C22</f>
        <v>0</v>
      </c>
      <c r="E39" s="702">
        <f>industrie!D22</f>
        <v>5837.4513211870371</v>
      </c>
      <c r="F39" s="702">
        <f>industrie!E22</f>
        <v>49.303141738567064</v>
      </c>
      <c r="G39" s="702">
        <f>industrie!F22</f>
        <v>1331.6626027006639</v>
      </c>
      <c r="H39" s="702">
        <f>industrie!G22</f>
        <v>0</v>
      </c>
      <c r="I39" s="702">
        <f>industrie!H22</f>
        <v>0</v>
      </c>
      <c r="J39" s="702">
        <f>industrie!I22</f>
        <v>0</v>
      </c>
      <c r="K39" s="702">
        <f>industrie!J22</f>
        <v>54.982056885458384</v>
      </c>
      <c r="L39" s="702">
        <f>industrie!K22</f>
        <v>0</v>
      </c>
      <c r="M39" s="702">
        <f>industrie!L22</f>
        <v>0</v>
      </c>
      <c r="N39" s="702">
        <f>industrie!M22</f>
        <v>0</v>
      </c>
      <c r="O39" s="702">
        <f>industrie!N22</f>
        <v>0</v>
      </c>
      <c r="P39" s="702">
        <f>industrie!O22</f>
        <v>0</v>
      </c>
      <c r="Q39" s="812">
        <f>industrie!P22</f>
        <v>0</v>
      </c>
      <c r="R39" s="906">
        <f ca="1">SUM(C39:Q39)</f>
        <v>11896.651776256233</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11491.963701847981</v>
      </c>
      <c r="D41" s="747">
        <f t="shared" ref="D41:R41" ca="1" si="4">SUM(D35:D40)</f>
        <v>0</v>
      </c>
      <c r="E41" s="747">
        <f t="shared" ca="1" si="4"/>
        <v>11774.000922952237</v>
      </c>
      <c r="F41" s="747">
        <f t="shared" si="4"/>
        <v>627.38299621471288</v>
      </c>
      <c r="G41" s="747">
        <f t="shared" ca="1" si="4"/>
        <v>8042.757743066546</v>
      </c>
      <c r="H41" s="747">
        <f t="shared" si="4"/>
        <v>0</v>
      </c>
      <c r="I41" s="747">
        <f t="shared" si="4"/>
        <v>0</v>
      </c>
      <c r="J41" s="747">
        <f t="shared" si="4"/>
        <v>0</v>
      </c>
      <c r="K41" s="747">
        <f t="shared" si="4"/>
        <v>2579.4805309615576</v>
      </c>
      <c r="L41" s="747">
        <f t="shared" si="4"/>
        <v>0</v>
      </c>
      <c r="M41" s="747">
        <f t="shared" ca="1" si="4"/>
        <v>0</v>
      </c>
      <c r="N41" s="747">
        <f t="shared" si="4"/>
        <v>0</v>
      </c>
      <c r="O41" s="747">
        <f t="shared" ca="1" si="4"/>
        <v>0</v>
      </c>
      <c r="P41" s="747">
        <f t="shared" si="4"/>
        <v>0</v>
      </c>
      <c r="Q41" s="748">
        <f t="shared" si="4"/>
        <v>0</v>
      </c>
      <c r="R41" s="749">
        <f t="shared" ca="1" si="4"/>
        <v>34515.585895043027</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218.36388017388691</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218.36388017388691</v>
      </c>
    </row>
    <row r="45" spans="1:18" ht="15" thickBot="1">
      <c r="A45" s="876" t="s">
        <v>308</v>
      </c>
      <c r="B45" s="886"/>
      <c r="C45" s="711">
        <f ca="1">transport!B18</f>
        <v>0.16423508178292687</v>
      </c>
      <c r="D45" s="711">
        <f>transport!C18</f>
        <v>0</v>
      </c>
      <c r="E45" s="711">
        <f>transport!D18</f>
        <v>0.88831738808952887</v>
      </c>
      <c r="F45" s="711">
        <f>transport!E18</f>
        <v>115.2709257575676</v>
      </c>
      <c r="G45" s="711">
        <f>transport!F18</f>
        <v>0</v>
      </c>
      <c r="H45" s="711">
        <f>transport!G18</f>
        <v>23008.032072452599</v>
      </c>
      <c r="I45" s="711">
        <f>transport!H18</f>
        <v>3745.9415576837359</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26870.297108363775</v>
      </c>
    </row>
    <row r="46" spans="1:18" ht="15.75" thickBot="1">
      <c r="A46" s="874" t="s">
        <v>231</v>
      </c>
      <c r="B46" s="887"/>
      <c r="C46" s="747">
        <f t="shared" ref="C46:R46" ca="1" si="5">SUM(C43:C45)</f>
        <v>0.16423508178292687</v>
      </c>
      <c r="D46" s="747">
        <f t="shared" ca="1" si="5"/>
        <v>0</v>
      </c>
      <c r="E46" s="747">
        <f t="shared" si="5"/>
        <v>0.88831738808952887</v>
      </c>
      <c r="F46" s="747">
        <f t="shared" si="5"/>
        <v>115.2709257575676</v>
      </c>
      <c r="G46" s="747">
        <f t="shared" si="5"/>
        <v>0</v>
      </c>
      <c r="H46" s="747">
        <f t="shared" si="5"/>
        <v>23226.395952626484</v>
      </c>
      <c r="I46" s="747">
        <f t="shared" si="5"/>
        <v>3745.9415576837359</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27088.66098853766</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254.37842668164092</v>
      </c>
      <c r="D48" s="702">
        <f ca="1">+landbouw!C12</f>
        <v>0</v>
      </c>
      <c r="E48" s="702">
        <f>+landbouw!D12</f>
        <v>165.26087548370251</v>
      </c>
      <c r="F48" s="702">
        <f>+landbouw!E12</f>
        <v>3.0898141854613148</v>
      </c>
      <c r="G48" s="702">
        <f>+landbouw!F12</f>
        <v>1782.451139397067</v>
      </c>
      <c r="H48" s="702">
        <f>+landbouw!G12</f>
        <v>0</v>
      </c>
      <c r="I48" s="702">
        <f>+landbouw!H12</f>
        <v>0</v>
      </c>
      <c r="J48" s="702">
        <f>+landbouw!I12</f>
        <v>0</v>
      </c>
      <c r="K48" s="702">
        <f>+landbouw!J12</f>
        <v>41.092844351233907</v>
      </c>
      <c r="L48" s="702">
        <f>+landbouw!K12</f>
        <v>0</v>
      </c>
      <c r="M48" s="702">
        <f>+landbouw!L12</f>
        <v>0</v>
      </c>
      <c r="N48" s="702">
        <f>+landbouw!M12</f>
        <v>0</v>
      </c>
      <c r="O48" s="702">
        <f>+landbouw!N12</f>
        <v>0</v>
      </c>
      <c r="P48" s="702">
        <f>+landbouw!O12</f>
        <v>0</v>
      </c>
      <c r="Q48" s="703">
        <f>+landbouw!P12</f>
        <v>0</v>
      </c>
      <c r="R48" s="745">
        <f ca="1">SUM(C48:Q48)</f>
        <v>2246.2731000991057</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11746.506363611405</v>
      </c>
      <c r="D53" s="757">
        <f t="shared" ref="D53:Q53" ca="1" si="6">D41+D46+D48</f>
        <v>0</v>
      </c>
      <c r="E53" s="757">
        <f t="shared" ca="1" si="6"/>
        <v>11940.150115824028</v>
      </c>
      <c r="F53" s="757">
        <f t="shared" si="6"/>
        <v>745.74373615774186</v>
      </c>
      <c r="G53" s="757">
        <f t="shared" ca="1" si="6"/>
        <v>9825.2088824636121</v>
      </c>
      <c r="H53" s="757">
        <f t="shared" si="6"/>
        <v>23226.395952626484</v>
      </c>
      <c r="I53" s="757">
        <f t="shared" si="6"/>
        <v>3745.9415576837359</v>
      </c>
      <c r="J53" s="757">
        <f t="shared" si="6"/>
        <v>0</v>
      </c>
      <c r="K53" s="757">
        <f t="shared" si="6"/>
        <v>2620.5733753127915</v>
      </c>
      <c r="L53" s="757">
        <f t="shared" si="6"/>
        <v>0</v>
      </c>
      <c r="M53" s="757">
        <f t="shared" ca="1" si="6"/>
        <v>0</v>
      </c>
      <c r="N53" s="757">
        <f t="shared" si="6"/>
        <v>0</v>
      </c>
      <c r="O53" s="757">
        <f t="shared" ca="1" si="6"/>
        <v>0</v>
      </c>
      <c r="P53" s="757">
        <f>P41+P46+P48</f>
        <v>0</v>
      </c>
      <c r="Q53" s="758">
        <f t="shared" si="6"/>
        <v>0</v>
      </c>
      <c r="R53" s="759">
        <f ca="1">R41+R46+R48</f>
        <v>63850.519983679791</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0.19570971439196683</v>
      </c>
      <c r="D55" s="823">
        <f t="shared" ca="1" si="7"/>
        <v>0</v>
      </c>
      <c r="E55" s="823">
        <f t="shared" ca="1" si="7"/>
        <v>0.20199999999999996</v>
      </c>
      <c r="F55" s="823">
        <f t="shared" si="7"/>
        <v>0.22700000000000006</v>
      </c>
      <c r="G55" s="823">
        <f t="shared" ca="1" si="7"/>
        <v>0.26699999999999996</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1558.4350439932332</v>
      </c>
      <c r="C66" s="779">
        <f>'lokale energieproductie'!B6</f>
        <v>1558.4350439932332</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5310</v>
      </c>
      <c r="C68" s="778">
        <f>B68*IFERROR(SUM(J68:L68)/SUM(D68:M68),0)</f>
        <v>5310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15171.428571428572</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6868.4350439932332</v>
      </c>
      <c r="C69" s="787">
        <f>SUM(C64:C68)</f>
        <v>6868.4350439932332</v>
      </c>
      <c r="D69" s="788">
        <f t="shared" ref="D69:M69" si="8">SUM(D67:D68)</f>
        <v>0</v>
      </c>
      <c r="E69" s="788">
        <f t="shared" si="8"/>
        <v>0</v>
      </c>
      <c r="F69" s="788">
        <f t="shared" si="8"/>
        <v>0</v>
      </c>
      <c r="G69" s="788">
        <f t="shared" si="8"/>
        <v>0</v>
      </c>
      <c r="H69" s="788">
        <f t="shared" si="8"/>
        <v>0</v>
      </c>
      <c r="I69" s="788">
        <f t="shared" si="8"/>
        <v>0</v>
      </c>
      <c r="J69" s="788">
        <f t="shared" si="8"/>
        <v>0</v>
      </c>
      <c r="K69" s="788">
        <f t="shared" si="8"/>
        <v>15171.428571428572</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22231.113950849991</v>
      </c>
      <c r="C4" s="461">
        <f>huishoudens!C8</f>
        <v>0</v>
      </c>
      <c r="D4" s="461">
        <f>huishoudens!D8</f>
        <v>24617.567327347824</v>
      </c>
      <c r="E4" s="461">
        <f>huishoudens!E8</f>
        <v>2440.3758176631777</v>
      </c>
      <c r="F4" s="461">
        <f>huishoudens!F8</f>
        <v>23768.915149126809</v>
      </c>
      <c r="G4" s="461">
        <f>huishoudens!G8</f>
        <v>0</v>
      </c>
      <c r="H4" s="461">
        <f>huishoudens!H8</f>
        <v>0</v>
      </c>
      <c r="I4" s="461">
        <f>huishoudens!I8</f>
        <v>0</v>
      </c>
      <c r="J4" s="461">
        <f>huishoudens!J8</f>
        <v>7131.3516216838962</v>
      </c>
      <c r="K4" s="461">
        <f>huishoudens!K8</f>
        <v>0</v>
      </c>
      <c r="L4" s="461">
        <f>huishoudens!L8</f>
        <v>0</v>
      </c>
      <c r="M4" s="461">
        <f>huishoudens!M8</f>
        <v>0</v>
      </c>
      <c r="N4" s="461">
        <f>huishoudens!N8</f>
        <v>6398.8898349134906</v>
      </c>
      <c r="O4" s="461">
        <f>huishoudens!O8</f>
        <v>65.660000000000011</v>
      </c>
      <c r="P4" s="462">
        <f>huishoudens!P8</f>
        <v>286</v>
      </c>
      <c r="Q4" s="463">
        <f>SUM(B4:P4)</f>
        <v>86939.873701585195</v>
      </c>
    </row>
    <row r="5" spans="1:17">
      <c r="A5" s="460" t="s">
        <v>156</v>
      </c>
      <c r="B5" s="461">
        <f ca="1">tertiair!B16</f>
        <v>12241.297695994841</v>
      </c>
      <c r="C5" s="461">
        <f ca="1">tertiair!C16</f>
        <v>0</v>
      </c>
      <c r="D5" s="461">
        <f ca="1">tertiair!D16</f>
        <v>4771.2920873313833</v>
      </c>
      <c r="E5" s="461">
        <f>tertiair!E16</f>
        <v>106.23147077799285</v>
      </c>
      <c r="F5" s="461">
        <f ca="1">tertiair!F16</f>
        <v>1366.2726425057078</v>
      </c>
      <c r="G5" s="461">
        <f>tertiair!G16</f>
        <v>0</v>
      </c>
      <c r="H5" s="461">
        <f>tertiair!H16</f>
        <v>0</v>
      </c>
      <c r="I5" s="461">
        <f>tertiair!I16</f>
        <v>0</v>
      </c>
      <c r="J5" s="461">
        <f>tertiair!J16</f>
        <v>0</v>
      </c>
      <c r="K5" s="461">
        <f>tertiair!K16</f>
        <v>0</v>
      </c>
      <c r="L5" s="461">
        <f ca="1">tertiair!L16</f>
        <v>0</v>
      </c>
      <c r="M5" s="461">
        <f>tertiair!M16</f>
        <v>0</v>
      </c>
      <c r="N5" s="461">
        <f ca="1">tertiair!N16</f>
        <v>0</v>
      </c>
      <c r="O5" s="461">
        <f>tertiair!O16</f>
        <v>0</v>
      </c>
      <c r="P5" s="462">
        <f>tertiair!P16</f>
        <v>0</v>
      </c>
      <c r="Q5" s="460">
        <f t="shared" ref="Q5:Q13" ca="1" si="0">SUM(B5:P5)</f>
        <v>18485.093896609924</v>
      </c>
    </row>
    <row r="6" spans="1:17">
      <c r="A6" s="460" t="s">
        <v>195</v>
      </c>
      <c r="B6" s="461">
        <f>'openbare verlichting'!B8</f>
        <v>624.01199999999994</v>
      </c>
      <c r="C6" s="461"/>
      <c r="D6" s="461"/>
      <c r="E6" s="461"/>
      <c r="F6" s="461"/>
      <c r="G6" s="461"/>
      <c r="H6" s="461"/>
      <c r="I6" s="461"/>
      <c r="J6" s="461"/>
      <c r="K6" s="461"/>
      <c r="L6" s="461"/>
      <c r="M6" s="461"/>
      <c r="N6" s="461"/>
      <c r="O6" s="461"/>
      <c r="P6" s="462"/>
      <c r="Q6" s="460">
        <f t="shared" si="0"/>
        <v>624.01199999999994</v>
      </c>
    </row>
    <row r="7" spans="1:17">
      <c r="A7" s="460" t="s">
        <v>112</v>
      </c>
      <c r="B7" s="461">
        <f>landbouw!B8</f>
        <v>1299.7741449470034</v>
      </c>
      <c r="C7" s="461">
        <f>landbouw!C8</f>
        <v>0</v>
      </c>
      <c r="D7" s="461">
        <f>landbouw!D8</f>
        <v>818.12314595892326</v>
      </c>
      <c r="E7" s="461">
        <f>landbouw!E8</f>
        <v>13.611516235512399</v>
      </c>
      <c r="F7" s="461">
        <f>landbouw!F8</f>
        <v>6675.8469640339581</v>
      </c>
      <c r="G7" s="461">
        <f>landbouw!G8</f>
        <v>0</v>
      </c>
      <c r="H7" s="461">
        <f>landbouw!H8</f>
        <v>0</v>
      </c>
      <c r="I7" s="461">
        <f>landbouw!I8</f>
        <v>0</v>
      </c>
      <c r="J7" s="461">
        <f>landbouw!J8</f>
        <v>116.08148121817489</v>
      </c>
      <c r="K7" s="461">
        <f>landbouw!K8</f>
        <v>0</v>
      </c>
      <c r="L7" s="461">
        <f>landbouw!L8</f>
        <v>0</v>
      </c>
      <c r="M7" s="461">
        <f>landbouw!M8</f>
        <v>0</v>
      </c>
      <c r="N7" s="461">
        <f>landbouw!N8</f>
        <v>0</v>
      </c>
      <c r="O7" s="461">
        <f>landbouw!O8</f>
        <v>0</v>
      </c>
      <c r="P7" s="462">
        <f>landbouw!P8</f>
        <v>0</v>
      </c>
      <c r="Q7" s="460">
        <f t="shared" si="0"/>
        <v>8923.4372523935708</v>
      </c>
    </row>
    <row r="8" spans="1:17">
      <c r="A8" s="460" t="s">
        <v>656</v>
      </c>
      <c r="B8" s="461">
        <f>industrie!B18</f>
        <v>23623.010580277434</v>
      </c>
      <c r="C8" s="461">
        <f>industrie!C18</f>
        <v>0</v>
      </c>
      <c r="D8" s="461">
        <f>industrie!D18</f>
        <v>28898.27386726256</v>
      </c>
      <c r="E8" s="461">
        <f>industrie!E18</f>
        <v>217.19445699809279</v>
      </c>
      <c r="F8" s="461">
        <f>industrie!F18</f>
        <v>4987.5003846466807</v>
      </c>
      <c r="G8" s="461">
        <f>industrie!G18</f>
        <v>0</v>
      </c>
      <c r="H8" s="461">
        <f>industrie!H18</f>
        <v>0</v>
      </c>
      <c r="I8" s="461">
        <f>industrie!I18</f>
        <v>0</v>
      </c>
      <c r="J8" s="461">
        <f>industrie!J18</f>
        <v>155.31654487417623</v>
      </c>
      <c r="K8" s="461">
        <f>industrie!K18</f>
        <v>0</v>
      </c>
      <c r="L8" s="461">
        <f>industrie!L18</f>
        <v>0</v>
      </c>
      <c r="M8" s="461">
        <f>industrie!M18</f>
        <v>0</v>
      </c>
      <c r="N8" s="461">
        <f>industrie!N18</f>
        <v>450.59075128408017</v>
      </c>
      <c r="O8" s="461">
        <f>industrie!O18</f>
        <v>0</v>
      </c>
      <c r="P8" s="462">
        <f>industrie!P18</f>
        <v>0</v>
      </c>
      <c r="Q8" s="460">
        <f t="shared" si="0"/>
        <v>58331.886585343018</v>
      </c>
    </row>
    <row r="9" spans="1:17" s="466" customFormat="1">
      <c r="A9" s="464" t="s">
        <v>574</v>
      </c>
      <c r="B9" s="465">
        <f>transport!B14</f>
        <v>0.83917695293345196</v>
      </c>
      <c r="C9" s="465">
        <f>transport!C14</f>
        <v>0</v>
      </c>
      <c r="D9" s="465">
        <f>transport!D14</f>
        <v>4.3976108321263805</v>
      </c>
      <c r="E9" s="465">
        <f>transport!E14</f>
        <v>507.80143505536387</v>
      </c>
      <c r="F9" s="465">
        <f>transport!F14</f>
        <v>0</v>
      </c>
      <c r="G9" s="465">
        <f>transport!G14</f>
        <v>86172.404765740066</v>
      </c>
      <c r="H9" s="465">
        <f>transport!H14</f>
        <v>15043.941998729862</v>
      </c>
      <c r="I9" s="465">
        <f>transport!I14</f>
        <v>0</v>
      </c>
      <c r="J9" s="465">
        <f>transport!J14</f>
        <v>0</v>
      </c>
      <c r="K9" s="465">
        <f>transport!K14</f>
        <v>0</v>
      </c>
      <c r="L9" s="465">
        <f>transport!L14</f>
        <v>0</v>
      </c>
      <c r="M9" s="465">
        <f>transport!M14</f>
        <v>4417.1317284421029</v>
      </c>
      <c r="N9" s="465">
        <f>transport!N14</f>
        <v>0</v>
      </c>
      <c r="O9" s="465">
        <f>transport!O14</f>
        <v>0</v>
      </c>
      <c r="P9" s="465">
        <f>transport!P14</f>
        <v>0</v>
      </c>
      <c r="Q9" s="464">
        <f>SUM(B9:P9)</f>
        <v>106146.51671575246</v>
      </c>
    </row>
    <row r="10" spans="1:17">
      <c r="A10" s="460" t="s">
        <v>564</v>
      </c>
      <c r="B10" s="461">
        <f>transport!B54</f>
        <v>0</v>
      </c>
      <c r="C10" s="461">
        <f>transport!C54</f>
        <v>0</v>
      </c>
      <c r="D10" s="461">
        <f>transport!D54</f>
        <v>0</v>
      </c>
      <c r="E10" s="461">
        <f>transport!E54</f>
        <v>0</v>
      </c>
      <c r="F10" s="461">
        <f>transport!F54</f>
        <v>0</v>
      </c>
      <c r="G10" s="461">
        <f>transport!G54</f>
        <v>817.84224784227308</v>
      </c>
      <c r="H10" s="461">
        <f>transport!H54</f>
        <v>0</v>
      </c>
      <c r="I10" s="461">
        <f>transport!I54</f>
        <v>0</v>
      </c>
      <c r="J10" s="461">
        <f>transport!J54</f>
        <v>0</v>
      </c>
      <c r="K10" s="461">
        <f>transport!K54</f>
        <v>0</v>
      </c>
      <c r="L10" s="461">
        <f>transport!L54</f>
        <v>0</v>
      </c>
      <c r="M10" s="461">
        <f>transport!M54</f>
        <v>34.861061929035017</v>
      </c>
      <c r="N10" s="461">
        <f>transport!N54</f>
        <v>0</v>
      </c>
      <c r="O10" s="461">
        <f>transport!O54</f>
        <v>0</v>
      </c>
      <c r="P10" s="462">
        <f>transport!P54</f>
        <v>0</v>
      </c>
      <c r="Q10" s="460">
        <f t="shared" si="0"/>
        <v>852.70330977130811</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60020.047549022209</v>
      </c>
      <c r="C14" s="471">
        <f t="shared" ref="C14:Q14" ca="1" si="1">SUM(C4:C13)</f>
        <v>0</v>
      </c>
      <c r="D14" s="471">
        <f t="shared" ca="1" si="1"/>
        <v>59109.65403873282</v>
      </c>
      <c r="E14" s="471">
        <f t="shared" si="1"/>
        <v>3285.2146967301396</v>
      </c>
      <c r="F14" s="471">
        <f t="shared" ca="1" si="1"/>
        <v>36798.535140313157</v>
      </c>
      <c r="G14" s="471">
        <f t="shared" si="1"/>
        <v>86990.247013582339</v>
      </c>
      <c r="H14" s="471">
        <f t="shared" si="1"/>
        <v>15043.941998729862</v>
      </c>
      <c r="I14" s="471">
        <f t="shared" si="1"/>
        <v>0</v>
      </c>
      <c r="J14" s="471">
        <f t="shared" si="1"/>
        <v>7402.7496477762479</v>
      </c>
      <c r="K14" s="471">
        <f t="shared" si="1"/>
        <v>0</v>
      </c>
      <c r="L14" s="471">
        <f t="shared" ca="1" si="1"/>
        <v>0</v>
      </c>
      <c r="M14" s="471">
        <f t="shared" si="1"/>
        <v>4451.9927903711377</v>
      </c>
      <c r="N14" s="471">
        <f t="shared" ca="1" si="1"/>
        <v>6849.480586197571</v>
      </c>
      <c r="O14" s="471">
        <f t="shared" si="1"/>
        <v>65.660000000000011</v>
      </c>
      <c r="P14" s="472">
        <f t="shared" si="1"/>
        <v>286</v>
      </c>
      <c r="Q14" s="472">
        <f t="shared" ca="1" si="1"/>
        <v>280303.52346145548</v>
      </c>
    </row>
    <row r="16" spans="1:17">
      <c r="A16" s="474" t="s">
        <v>569</v>
      </c>
      <c r="B16" s="828">
        <f ca="1">huishoudens!B10</f>
        <v>0.19570971439196683</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4350.8449619361209</v>
      </c>
      <c r="C21" s="461">
        <f t="shared" ref="C21:C30" ca="1" si="3">C4*$C$16</f>
        <v>0</v>
      </c>
      <c r="D21" s="461">
        <f t="shared" ref="D21:D30" si="4">D4*$D$16</f>
        <v>4972.7486001242605</v>
      </c>
      <c r="E21" s="461">
        <f t="shared" ref="E21:E30" si="5">E4*$E$16</f>
        <v>553.96531060954135</v>
      </c>
      <c r="F21" s="461">
        <f t="shared" ref="F21:F30" si="6">F4*$F$16</f>
        <v>6346.3003448168583</v>
      </c>
      <c r="G21" s="461">
        <f t="shared" ref="G21:G30" si="7">G4*$G$16</f>
        <v>0</v>
      </c>
      <c r="H21" s="461">
        <f t="shared" ref="H21:H30" si="8">H4*$H$16</f>
        <v>0</v>
      </c>
      <c r="I21" s="461">
        <f t="shared" ref="I21:I30" si="9">I4*$I$16</f>
        <v>0</v>
      </c>
      <c r="J21" s="461">
        <f t="shared" ref="J21:J30" si="10">J4*$J$16</f>
        <v>2524.4984740760992</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18748.35769156288</v>
      </c>
    </row>
    <row r="22" spans="1:17">
      <c r="A22" s="460" t="s">
        <v>156</v>
      </c>
      <c r="B22" s="461">
        <f t="shared" ca="1" si="2"/>
        <v>2395.7408758701918</v>
      </c>
      <c r="C22" s="461">
        <f t="shared" ca="1" si="3"/>
        <v>0</v>
      </c>
      <c r="D22" s="461">
        <f t="shared" ca="1" si="4"/>
        <v>963.80100164093949</v>
      </c>
      <c r="E22" s="461">
        <f t="shared" si="5"/>
        <v>24.114543866604379</v>
      </c>
      <c r="F22" s="461">
        <f t="shared" ca="1" si="6"/>
        <v>364.794795549024</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3748.4512169267596</v>
      </c>
    </row>
    <row r="23" spans="1:17">
      <c r="A23" s="460" t="s">
        <v>195</v>
      </c>
      <c r="B23" s="461">
        <f t="shared" ca="1" si="2"/>
        <v>122.12521029716</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122.12521029716</v>
      </c>
    </row>
    <row r="24" spans="1:17">
      <c r="A24" s="460" t="s">
        <v>112</v>
      </c>
      <c r="B24" s="461">
        <f t="shared" ca="1" si="2"/>
        <v>254.37842668164092</v>
      </c>
      <c r="C24" s="461">
        <f t="shared" ca="1" si="3"/>
        <v>0</v>
      </c>
      <c r="D24" s="461">
        <f t="shared" si="4"/>
        <v>165.26087548370251</v>
      </c>
      <c r="E24" s="461">
        <f t="shared" si="5"/>
        <v>3.0898141854613148</v>
      </c>
      <c r="F24" s="461">
        <f t="shared" si="6"/>
        <v>1782.451139397067</v>
      </c>
      <c r="G24" s="461">
        <f t="shared" si="7"/>
        <v>0</v>
      </c>
      <c r="H24" s="461">
        <f t="shared" si="8"/>
        <v>0</v>
      </c>
      <c r="I24" s="461">
        <f t="shared" si="9"/>
        <v>0</v>
      </c>
      <c r="J24" s="461">
        <f t="shared" si="10"/>
        <v>41.092844351233907</v>
      </c>
      <c r="K24" s="461">
        <f t="shared" si="11"/>
        <v>0</v>
      </c>
      <c r="L24" s="461">
        <f t="shared" si="12"/>
        <v>0</v>
      </c>
      <c r="M24" s="461">
        <f t="shared" si="13"/>
        <v>0</v>
      </c>
      <c r="N24" s="461">
        <f t="shared" si="14"/>
        <v>0</v>
      </c>
      <c r="O24" s="461">
        <f t="shared" si="15"/>
        <v>0</v>
      </c>
      <c r="P24" s="462">
        <f t="shared" si="16"/>
        <v>0</v>
      </c>
      <c r="Q24" s="460">
        <f t="shared" ca="1" si="17"/>
        <v>2246.2731000991057</v>
      </c>
    </row>
    <row r="25" spans="1:17">
      <c r="A25" s="460" t="s">
        <v>656</v>
      </c>
      <c r="B25" s="461">
        <f t="shared" ca="1" si="2"/>
        <v>4623.2526537445074</v>
      </c>
      <c r="C25" s="461">
        <f t="shared" ca="1" si="3"/>
        <v>0</v>
      </c>
      <c r="D25" s="461">
        <f t="shared" si="4"/>
        <v>5837.4513211870371</v>
      </c>
      <c r="E25" s="461">
        <f t="shared" si="5"/>
        <v>49.303141738567064</v>
      </c>
      <c r="F25" s="461">
        <f t="shared" si="6"/>
        <v>1331.6626027006639</v>
      </c>
      <c r="G25" s="461">
        <f t="shared" si="7"/>
        <v>0</v>
      </c>
      <c r="H25" s="461">
        <f t="shared" si="8"/>
        <v>0</v>
      </c>
      <c r="I25" s="461">
        <f t="shared" si="9"/>
        <v>0</v>
      </c>
      <c r="J25" s="461">
        <f t="shared" si="10"/>
        <v>54.982056885458384</v>
      </c>
      <c r="K25" s="461">
        <f t="shared" si="11"/>
        <v>0</v>
      </c>
      <c r="L25" s="461">
        <f t="shared" si="12"/>
        <v>0</v>
      </c>
      <c r="M25" s="461">
        <f t="shared" si="13"/>
        <v>0</v>
      </c>
      <c r="N25" s="461">
        <f t="shared" si="14"/>
        <v>0</v>
      </c>
      <c r="O25" s="461">
        <f t="shared" si="15"/>
        <v>0</v>
      </c>
      <c r="P25" s="462">
        <f t="shared" si="16"/>
        <v>0</v>
      </c>
      <c r="Q25" s="460">
        <f t="shared" ca="1" si="17"/>
        <v>11896.651776256233</v>
      </c>
    </row>
    <row r="26" spans="1:17" s="466" customFormat="1">
      <c r="A26" s="464" t="s">
        <v>574</v>
      </c>
      <c r="B26" s="822">
        <f t="shared" ca="1" si="2"/>
        <v>0.16423508178292687</v>
      </c>
      <c r="C26" s="465">
        <f t="shared" ca="1" si="3"/>
        <v>0</v>
      </c>
      <c r="D26" s="465">
        <f t="shared" si="4"/>
        <v>0.88831738808952887</v>
      </c>
      <c r="E26" s="465">
        <f t="shared" si="5"/>
        <v>115.2709257575676</v>
      </c>
      <c r="F26" s="465">
        <f t="shared" si="6"/>
        <v>0</v>
      </c>
      <c r="G26" s="465">
        <f t="shared" si="7"/>
        <v>23008.032072452599</v>
      </c>
      <c r="H26" s="465">
        <f t="shared" si="8"/>
        <v>3745.9415576837359</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26870.297108363775</v>
      </c>
    </row>
    <row r="27" spans="1:17">
      <c r="A27" s="460" t="s">
        <v>564</v>
      </c>
      <c r="B27" s="461">
        <f t="shared" ca="1" si="2"/>
        <v>0</v>
      </c>
      <c r="C27" s="461">
        <f t="shared" ca="1" si="3"/>
        <v>0</v>
      </c>
      <c r="D27" s="461">
        <f t="shared" si="4"/>
        <v>0</v>
      </c>
      <c r="E27" s="461">
        <f t="shared" si="5"/>
        <v>0</v>
      </c>
      <c r="F27" s="461">
        <f t="shared" si="6"/>
        <v>0</v>
      </c>
      <c r="G27" s="461">
        <f t="shared" si="7"/>
        <v>218.36388017388691</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218.36388017388691</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11746.506363611405</v>
      </c>
      <c r="C31" s="471">
        <f t="shared" ca="1" si="18"/>
        <v>0</v>
      </c>
      <c r="D31" s="471">
        <f t="shared" ca="1" si="18"/>
        <v>11940.15011582403</v>
      </c>
      <c r="E31" s="471">
        <f t="shared" si="18"/>
        <v>745.74373615774186</v>
      </c>
      <c r="F31" s="471">
        <f t="shared" ca="1" si="18"/>
        <v>9825.2088824636121</v>
      </c>
      <c r="G31" s="471">
        <f t="shared" si="18"/>
        <v>23226.395952626484</v>
      </c>
      <c r="H31" s="471">
        <f t="shared" si="18"/>
        <v>3745.9415576837359</v>
      </c>
      <c r="I31" s="471">
        <f t="shared" si="18"/>
        <v>0</v>
      </c>
      <c r="J31" s="471">
        <f t="shared" si="18"/>
        <v>2620.5733753127915</v>
      </c>
      <c r="K31" s="471">
        <f t="shared" si="18"/>
        <v>0</v>
      </c>
      <c r="L31" s="471">
        <f t="shared" ca="1" si="18"/>
        <v>0</v>
      </c>
      <c r="M31" s="471">
        <f t="shared" si="18"/>
        <v>0</v>
      </c>
      <c r="N31" s="471">
        <f t="shared" ca="1" si="18"/>
        <v>0</v>
      </c>
      <c r="O31" s="471">
        <f t="shared" si="18"/>
        <v>0</v>
      </c>
      <c r="P31" s="472">
        <f t="shared" si="18"/>
        <v>0</v>
      </c>
      <c r="Q31" s="472">
        <f t="shared" ca="1" si="18"/>
        <v>63850.519983679791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0.19570971439196683</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0.19570971439196683</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0.19570971439196683</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2018-06-27T09:02:04Z</dcterms:modified>
</cp:coreProperties>
</file>