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C97" i="18"/>
  <c r="I100" s="1"/>
  <c r="H7" s="1"/>
  <c r="I67" i="14" s="1"/>
  <c r="F16" i="16"/>
  <c r="D13" i="15"/>
  <c r="B16" i="18"/>
  <c r="B78" i="14" s="1"/>
  <c r="C78" s="1"/>
  <c r="C13" i="15"/>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28" s="1"/>
  <c r="D14" i="15"/>
  <c r="K19" i="19"/>
  <c r="L35" i="14" s="1"/>
  <c r="I19" i="19"/>
  <c r="J35" i="14" s="1"/>
  <c r="B6" i="48"/>
  <c r="Q6" s="1"/>
  <c r="P18" i="16"/>
  <c r="P8" i="48" s="1"/>
  <c r="P25" s="1"/>
  <c r="J8" i="17"/>
  <c r="J7" i="48" s="1"/>
  <c r="J24" s="1"/>
  <c r="G19" i="18"/>
  <c r="K19"/>
  <c r="L16" i="16"/>
  <c r="L18" s="1"/>
  <c r="N6" i="17"/>
  <c r="B81" i="14"/>
  <c r="E31" i="20"/>
  <c r="F43" i="14" s="1"/>
  <c r="H14" i="22"/>
  <c r="F8" i="17"/>
  <c r="G22" i="14" s="1"/>
  <c r="H100" i="18"/>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H28"/>
  <c r="L28"/>
  <c r="F30"/>
  <c r="J30"/>
  <c r="N30"/>
  <c r="G23"/>
  <c r="K23"/>
  <c r="O23"/>
  <c r="G25"/>
  <c r="F26"/>
  <c r="J26"/>
  <c r="O26"/>
  <c r="F27"/>
  <c r="I28"/>
  <c r="D29"/>
  <c r="H29"/>
  <c r="L29"/>
  <c r="P29"/>
  <c r="K30"/>
  <c r="O30"/>
  <c r="C22" i="13"/>
  <c r="C21"/>
  <c r="C20"/>
  <c r="D23" i="48"/>
  <c r="H23"/>
  <c r="L23"/>
  <c r="P23"/>
  <c r="H25"/>
  <c r="P26"/>
  <c r="F28"/>
  <c r="J28"/>
  <c r="N28"/>
  <c r="D30"/>
  <c r="L30"/>
  <c r="P30"/>
  <c r="G22"/>
  <c r="E23"/>
  <c r="I23"/>
  <c r="O24"/>
  <c r="I25"/>
  <c r="P11" i="14"/>
  <c r="O12" i="13"/>
  <c r="P37" i="14" s="1"/>
  <c r="H9" i="18"/>
  <c r="B10" i="48"/>
  <c r="C18" i="14"/>
  <c r="F7" i="48"/>
  <c r="F24" s="1"/>
  <c r="P24"/>
  <c r="E5" i="17"/>
  <c r="C8"/>
  <c r="G24" i="48"/>
  <c r="K14"/>
  <c r="I24"/>
  <c r="G81" i="14"/>
  <c r="D79"/>
  <c r="H79"/>
  <c r="H81" s="1"/>
  <c r="L79"/>
  <c r="L81" s="1"/>
  <c r="F79"/>
  <c r="J79"/>
  <c r="J81" s="1"/>
  <c r="E68"/>
  <c r="E69" s="1"/>
  <c r="I68"/>
  <c r="M68"/>
  <c r="M69" s="1"/>
  <c r="D19" i="18"/>
  <c r="L19"/>
  <c r="B68" i="14"/>
  <c r="G68"/>
  <c r="G69" s="1"/>
  <c r="K68"/>
  <c r="E81"/>
  <c r="M81"/>
  <c r="F19" i="18"/>
  <c r="D11" i="14"/>
  <c r="C4" i="48"/>
  <c r="M8" i="18"/>
  <c r="M17"/>
  <c r="M18"/>
  <c r="D13" i="14"/>
  <c r="N8" i="17" l="1"/>
  <c r="N5"/>
  <c r="B35" i="13"/>
  <c r="F100" i="18"/>
  <c r="E9"/>
  <c r="Q13" i="14"/>
  <c r="B19" i="18"/>
  <c r="H19"/>
  <c r="L8" i="17"/>
  <c r="L7" i="48" s="1"/>
  <c r="L24" s="1"/>
  <c r="L5" i="17"/>
  <c r="C100" i="18"/>
  <c r="F81" i="14"/>
  <c r="D16" i="15"/>
  <c r="D100" i="18"/>
  <c r="J7" s="1"/>
  <c r="G100"/>
  <c r="I7" s="1"/>
  <c r="P22" i="16"/>
  <c r="Q39" i="14" s="1"/>
  <c r="B100" i="18"/>
  <c r="C7" s="1"/>
  <c r="I69" i="14"/>
  <c r="J12" i="17"/>
  <c r="K48" i="14" s="1"/>
  <c r="E19" i="18"/>
  <c r="I19"/>
  <c r="L12" i="17"/>
  <c r="M48" i="14" s="1"/>
  <c r="D81"/>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B48" s="1"/>
  <c r="C48" s="1"/>
  <c r="N5" s="1"/>
  <c r="N8" s="1"/>
  <c r="N4" i="48" s="1"/>
  <c r="N21" s="1"/>
  <c r="O68" i="14"/>
  <c r="C68"/>
  <c r="E8" i="17"/>
  <c r="F22" i="14" s="1"/>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O28" i="48"/>
  <c r="H22"/>
  <c r="D5"/>
  <c r="D22" s="1"/>
  <c r="K31"/>
  <c r="L26"/>
  <c r="M29"/>
  <c r="M25"/>
  <c r="M24"/>
  <c r="I31"/>
  <c r="C50" i="13"/>
  <c r="J5" s="1"/>
  <c r="J8" s="1"/>
  <c r="E12" i="17"/>
  <c r="F48" i="14" s="1"/>
  <c r="C5" i="48"/>
  <c r="M19" i="18"/>
  <c r="D67" i="14" l="1"/>
  <c r="C9" i="18"/>
  <c r="O22" i="14"/>
  <c r="N12" i="17"/>
  <c r="O48" i="14" s="1"/>
  <c r="N7" i="48"/>
  <c r="N24" s="1"/>
  <c r="M22" i="14"/>
  <c r="E7" i="48"/>
  <c r="E24" s="1"/>
  <c r="C14"/>
  <c r="E19" i="14"/>
  <c r="E20" s="1"/>
  <c r="R22"/>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J5" i="48"/>
  <c r="J22" s="1"/>
  <c r="M9"/>
  <c r="N19" i="14"/>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R10" i="14"/>
  <c r="O13" l="1"/>
  <c r="O15" s="1"/>
  <c r="F13"/>
  <c r="F15" s="1"/>
  <c r="F23" s="1"/>
  <c r="F55" s="1"/>
  <c r="F22" i="16"/>
  <c r="G39" i="14" s="1"/>
  <c r="G41" s="1"/>
  <c r="N22" i="16"/>
  <c r="O39" i="14" s="1"/>
  <c r="O41" s="1"/>
  <c r="O53" s="1"/>
  <c r="N25" i="48"/>
  <c r="N31" s="1"/>
  <c r="N14"/>
  <c r="E8"/>
  <c r="Q8" s="1"/>
  <c r="Q14" s="1"/>
  <c r="J22" i="16"/>
  <c r="K39" i="14" s="1"/>
  <c r="K41" s="1"/>
  <c r="K53" s="1"/>
  <c r="J31" i="48"/>
  <c r="J14"/>
  <c r="R20" i="14"/>
  <c r="N55"/>
  <c r="H55"/>
  <c r="G31" i="48"/>
  <c r="G53" i="14"/>
  <c r="G55" s="1"/>
  <c r="O69" s="1"/>
  <c r="B9" i="6" s="1"/>
  <c r="B12" s="1"/>
  <c r="M53" i="14"/>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<sst xmlns="http://schemas.openxmlformats.org/spreadsheetml/2006/main" count="2029" uniqueCount="894">
  <si>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</si>
  <si>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</si>
  <si>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</si>
  <si>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</si>
  <si>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</si>
  <si>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</si>
  <si>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</si>
  <si>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</si>
  <si>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</si>
  <si>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</si>
  <si>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</si>
  <si>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</si>
  <si>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</si>
  <si>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</si>
  <si>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</si>
  <si>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</si>
  <si>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</si>
  <si>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</si>
  <si>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</si>
  <si>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</si>
  <si>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</si>
  <si>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</si>
  <si>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</si>
  <si>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</si>
  <si>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</si>
  <si>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</si>
  <si>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</si>
  <si>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</si>
  <si>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</si>
  <si>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</si>
  <si>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</si>
  <si>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</si>
  <si>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</si>
  <si>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</si>
  <si>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</si>
  <si>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</si>
  <si>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</si>
  <si>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</si>
  <si>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</si>
  <si>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</si>
  <si>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</si>
  <si>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</si>
  <si>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</si>
  <si>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</si>
  <si>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</si>
  <si>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</si>
  <si>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</si>
  <si>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</si>
  <si>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</si>
  <si>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</si>
  <si>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</si>
  <si>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</si>
  <si>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</si>
  <si>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</si>
  <si>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</si>
  <si>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</si>
  <si>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</si>
  <si>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</si>
  <si>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</si>
  <si>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</si>
  <si>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</si>
  <si>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</si>
  <si>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</si>
  <si>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</si>
  <si>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</si>
  <si>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</si>
  <si>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</si>
  <si>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</si>
  <si>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</si>
  <si>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</si>
  <si>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</si>
  <si>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</si>
  <si>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</si>
  <si>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</si>
  <si>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</si>
  <si>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</si>
  <si>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</si>
  <si>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</si>
  <si>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</si>
  <si>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</si>
  <si>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</si>
  <si>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</si>
  <si>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</si>
  <si>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</si>
  <si>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</si>
  <si>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</si>
  <si>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</si>
  <si>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</si>
  <si>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</si>
  <si>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</si>
  <si>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</si>
  <si>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</si>
  <si>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</si>
  <si>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</si>
  <si>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</si>
  <si>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</si>
  <si>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</si>
  <si>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</si>
  <si>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</si>
  <si>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</si>
  <si>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</si>
  <si>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</si>
  <si>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</si>
  <si>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</si>
  <si>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</si>
  <si>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</si>
  <si>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</si>
  <si>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</si>
  <si>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</si>
  <si>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</si>
  <si>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</si>
  <si>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</si>
  <si>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</si>
  <si>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</si>
  <si>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</si>
  <si>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</si>
  <si>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</si>
  <si>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</si>
  <si>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</si>
  <si>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</si>
  <si>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</si>
  <si>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</si>
  <si>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</si>
  <si>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</si>
  <si>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</si>
  <si>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</si>
  <si>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</si>
  <si>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</si>
  <si>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</si>
  <si>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</si>
  <si>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</si>
  <si>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</si>
  <si>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</si>
  <si>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</si>
  <si>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</si>
  <si>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</si>
  <si>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</si>
  <si>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</si>
  <si>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</si>
  <si>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</si>
  <si>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</si>
  <si>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</si>
  <si>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</si>
  <si>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</si>
  <si>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</si>
  <si>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</si>
  <si>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</si>
  <si>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</si>
  <si>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</si>
  <si>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</si>
  <si>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</si>
  <si>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</si>
  <si>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</si>
  <si>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</si>
  <si>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</si>
  <si>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</si>
  <si>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</si>
  <si>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</si>
  <si>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</si>
  <si>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</si>
  <si>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</si>
  <si>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</si>
  <si>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</si>
  <si>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</si>
  <si>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</si>
  <si>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</si>
  <si>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</si>
  <si>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</si>
  <si>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</si>
  <si>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</si>
  <si>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</si>
  <si>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</si>
  <si>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</si>
  <si>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</si>
  <si>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</si>
  <si>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</si>
  <si>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</si>
  <si>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</si>
  <si>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</si>
  <si>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</si>
  <si>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</si>
  <si>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</si>
  <si>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</si>
  <si>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</si>
  <si>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</si>
  <si>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</si>
  <si>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</si>
  <si>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</si>
  <si>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</si>
  <si>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</si>
  <si>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</si>
  <si>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</si>
  <si>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</si>
  <si>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</si>
  <si>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</si>
  <si>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</si>
  <si>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</si>
  <si>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</si>
  <si>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</si>
  <si>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</si>
  <si>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</si>
  <si>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</si>
  <si>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</si>
  <si>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</si>
  <si>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</si>
  <si>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</si>
  <si>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</si>
  <si>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</si>
  <si>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</si>
  <si>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</si>
  <si>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</si>
  <si>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</si>
  <si>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</si>
  <si>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</si>
  <si>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</si>
  <si>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</si>
  <si>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</si>
  <si>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</si>
  <si>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</si>
  <si>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</si>
  <si>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</si>
  <si>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</si>
  <si>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</si>
  <si>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</si>
  <si>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</si>
  <si>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</si>
  <si>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</si>
  <si>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</si>
  <si>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</si>
  <si>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</si>
  <si>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</si>
  <si>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</si>
  <si>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</si>
  <si>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</si>
  <si>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</si>
  <si>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</si>
  <si>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</si>
  <si>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</si>
  <si>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</si>
  <si>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</si>
  <si>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</si>
  <si>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</si>
  <si>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</si>
  <si>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</si>
  <si>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</si>
  <si>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</si>
  <si>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</si>
  <si>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</si>
  <si>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</si>
  <si>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</si>
  <si>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</si>
  <si>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</si>
  <si>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</si>
  <si>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</si>
  <si>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</si>
  <si>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</si>
  <si>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</si>
  <si>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</si>
  <si>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</si>
  <si>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</si>
  <si>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</si>
  <si>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</si>
  <si>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</si>
  <si>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</si>
  <si>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</si>
  <si>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</si>
  <si>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</si>
  <si>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</si>
  <si>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</si>
  <si>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</si>
  <si>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</si>
  <si>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</si>
  <si>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</si>
  <si>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</si>
  <si>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</si>
  <si>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</si>
  <si>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</si>
  <si>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</si>
  <si>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</si>
  <si>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</si>
  <si>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</si>
  <si>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</si>
  <si>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</si>
  <si>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</si>
  <si>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</si>
  <si>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</si>
  <si>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</si>
  <si>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</si>
  <si>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</si>
  <si>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</si>
  <si>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</si>
  <si>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</si>
  <si>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</si>
  <si>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</si>
  <si>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</si>
  <si>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</si>
  <si>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</si>
  <si>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</si>
  <si>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</si>
  <si>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</si>
  <si>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</si>
  <si>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</si>
  <si>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</si>
  <si>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</si>
  <si>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</si>
  <si>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</si>
  <si>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</si>
  <si>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</si>
  <si>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</si>
  <si>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</si>
  <si>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</si>
  <si>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</si>
  <si>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</si>
  <si>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</si>
  <si>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</si>
  <si>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</si>
  <si>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</si>
  <si>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</si>
  <si>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</si>
  <si>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</si>
  <si>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</si>
  <si>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</si>
  <si>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</si>
  <si>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</si>
  <si>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</si>
  <si>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</si>
  <si>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</si>
  <si>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</si>
  <si>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</si>
  <si>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</si>
  <si>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</si>
  <si>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</si>
  <si>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</si>
  <si>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</si>
  <si>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</si>
  <si>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</si>
  <si>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</si>
  <si>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</si>
  <si>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</si>
  <si>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</si>
  <si>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</si>
  <si>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</si>
  <si>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</si>
  <si>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</si>
  <si>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</si>
  <si>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</si>
  <si>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</si>
  <si>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</si>
  <si>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</si>
  <si>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</si>
  <si>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</si>
  <si>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</si>
  <si>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</si>
  <si>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</si>
  <si>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</si>
  <si>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</si>
  <si>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</si>
  <si>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</si>
  <si>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</si>
  <si>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</si>
  <si>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</si>
  <si>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</si>
  <si>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</si>
  <si>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</si>
  <si>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</si>
  <si>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</si>
  <si>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</si>
  <si>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</si>
  <si>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</si>
  <si>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</si>
  <si>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</si>
  <si>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</si>
  <si>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</si>
  <si>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</si>
  <si>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</si>
  <si>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</si>
  <si>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</si>
  <si>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</si>
  <si>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</si>
  <si>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</si>
  <si>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</si>
  <si>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</si>
  <si>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</si>
  <si>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</si>
  <si>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</si>
  <si>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</si>
  <si>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</si>
  <si>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</si>
  <si>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</si>
  <si>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</si>
  <si>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</si>
  <si>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</si>
  <si>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</si>
  <si>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</si>
  <si>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</si>
  <si>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</si>
  <si>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</si>
  <si>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</si>
  <si>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</si>
  <si>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</si>
  <si>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</si>
  <si>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</si>
  <si>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</si>
  <si>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</si>
  <si>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</si>
  <si>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</si>
  <si>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</si>
  <si>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</si>
  <si>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</si>
  <si>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</si>
  <si>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</si>
  <si>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</si>
  <si>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</si>
  <si>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</si>
  <si>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</si>
  <si>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</si>
  <si>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</si>
  <si>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</si>
  <si>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</si>
  <si>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</si>
  <si>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</si>
  <si>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</si>
  <si>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</si>
  <si>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</si>
  <si>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</si>
  <si>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</si>
  <si>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</si>
  <si>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</si>
  <si>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</si>
  <si>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</si>
  <si>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</si>
  <si>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</si>
  <si>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</si>
  <si>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</si>
  <si>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</si>
  <si>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</si>
  <si>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</si>
  <si>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</si>
  <si>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</si>
  <si>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</si>
  <si>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</si>
  <si>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</si>
  <si>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</si>
  <si>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</si>
  <si>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</si>
  <si>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</si>
  <si>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</si>
  <si>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</si>
  <si>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</si>
  <si>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</si>
  <si>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</si>
  <si>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</si>
  <si>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</si>
  <si>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</si>
  <si>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</si>
  <si>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</si>
  <si>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</si>
  <si>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</si>
  <si>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</si>
  <si>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</si>
  <si>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</si>
  <si>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</si>
  <si>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</si>
  <si>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</si>
  <si>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</si>
  <si>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</si>
  <si>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</si>
  <si>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</si>
  <si>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</si>
  <si>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</si>
  <si>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</si>
  <si>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</si>
  <si>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</si>
  <si>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</si>
  <si>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</si>
  <si>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</si>
  <si>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</si>
  <si>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</si>
  <si>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</si>
  <si>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</si>
  <si>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</si>
  <si>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</si>
  <si>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</si>
  <si>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</si>
  <si>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</si>
  <si>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</si>
  <si>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</si>
  <si>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</si>
  <si>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</si>
  <si>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</si>
  <si>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</si>
  <si>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</si>
  <si>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</si>
  <si>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</si>
  <si>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</si>
  <si>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</si>
  <si>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</si>
  <si>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</si>
  <si>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</si>
  <si>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</si>
  <si>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</si>
  <si>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</si>
  <si>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</si>
  <si>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</si>
  <si>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</si>
  <si>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</si>
  <si>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</si>
  <si>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</si>
  <si>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</si>
  <si>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</si>
  <si>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</si>
  <si>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</si>
  <si>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</si>
  <si>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</si>
  <si>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</si>
  <si>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</si>
  <si>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</si>
  <si>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</si>
  <si>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</si>
  <si>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</si>
  <si>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</si>
  <si>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</si>
  <si>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</si>
  <si>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</si>
  <si>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</si>
  <si>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</si>
  <si>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</si>
  <si>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</si>
  <si>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</si>
  <si>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</si>
  <si>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</si>
  <si>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</si>
  <si>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</si>
  <si>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</si>
  <si>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</si>
  <si>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</si>
  <si>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</si>
  <si>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</si>
  <si>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</si>
  <si>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</si>
  <si>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</si>
  <si>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</si>
  <si>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</si>
  <si>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</si>
  <si>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</si>
  <si>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</si>
  <si>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</si>
  <si>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</si>
  <si>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</si>
  <si>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</si>
  <si>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</si>
  <si>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</si>
  <si>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</si>
  <si>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</si>
  <si>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</si>
  <si>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</si>
  <si>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</si>
  <si>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</si>
  <si>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</si>
  <si>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</si>
  <si>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</si>
  <si>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</si>
  <si>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</si>
  <si>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</si>
  <si>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</si>
  <si>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</si>
  <si>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</si>
  <si>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</si>
  <si>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</si>
  <si>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</si>
  <si>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</si>
  <si>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</si>
  <si>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</si>
  <si>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</si>
  <si>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</si>
  <si>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</si>
  <si>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</si>
  <si>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</si>
  <si>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</si>
  <si>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</si>
  <si>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</si>
  <si>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</si>
  <si>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</si>
  <si>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</si>
  <si>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</si>
  <si>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</si>
  <si>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</si>
  <si>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</si>
  <si>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</si>
  <si>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</si>
  <si>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</si>
  <si>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</si>
  <si>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</si>
  <si>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</si>
  <si>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</si>
  <si>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</si>
  <si>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</si>
  <si>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</si>
  <si>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</si>
  <si>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</si>
  <si>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</si>
  <si>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</si>
  <si>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</si>
  <si>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</si>
  <si>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</si>
  <si>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</si>
  <si>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</si>
  <si>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</si>
  <si>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</si>
  <si>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</si>
  <si>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</si>
  <si>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</si>
  <si>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</si>
  <si>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</si>
  <si>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</si>
  <si>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</si>
  <si>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</si>
  <si>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</si>
  <si>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</si>
  <si>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</si>
  <si>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</si>
  <si>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</si>
  <si>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</si>
  <si>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</si>
  <si>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</si>
  <si>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</si>
  <si>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</si>
  <si>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</si>
  <si>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</si>
  <si>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</si>
  <si>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</si>
  <si>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</si>
  <si>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</si>
  <si>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</si>
  <si>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</si>
  <si>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</si>
  <si>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</si>
  <si>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</si>
  <si>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</si>
  <si>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</si>
  <si>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</si>
  <si>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</si>
  <si>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</si>
  <si>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</si>
  <si>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</si>
  <si>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</si>
  <si>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</si>
  <si>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</si>
  <si>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</si>
  <si>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</si>
  <si>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</si>
  <si>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</si>
  <si>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</si>
  <si>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</si>
  <si>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</si>
  <si>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</si>
  <si>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</si>
  <si>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</si>
  <si>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</si>
  <si>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</si>
  <si>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</si>
  <si>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</si>
  <si>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</si>
  <si>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</si>
  <si>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</si>
  <si>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</si>
  <si>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</si>
  <si>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</si>
  <si>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</si>
  <si>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</si>
  <si>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</si>
  <si>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</si>
  <si>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</si>
  <si>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</si>
  <si>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</si>
  <si>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</si>
  <si>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</si>
  <si>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</si>
  <si>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</si>
  <si>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</si>
  <si>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</si>
  <si>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</si>
  <si>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</si>
  <si>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</si>
  <si>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</si>
  <si>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</si>
  <si>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</si>
  <si>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</si>
  <si>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</si>
  <si>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</si>
  <si>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</si>
  <si>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</si>
  <si>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</si>
  <si>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</si>
  <si>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</si>
  <si>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</si>
  <si>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</si>
  <si>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</si>
  <si>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</si>
  <si>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</si>
  <si>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</si>
  <si>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</si>
  <si>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</si>
  <si>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</si>
  <si>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</si>
  <si>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</si>
  <si>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</si>
  <si>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</si>
  <si>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</si>
  <si>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</si>
  <si>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</si>
  <si>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</si>
  <si>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</si>
  <si>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</si>
  <si>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</si>
  <si>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</si>
  <si>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</si>
  <si>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</si>
  <si>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</si>
  <si>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</si>
  <si>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</si>
  <si>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</si>
  <si>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</si>
  <si>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</si>
  <si>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</si>
  <si>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</si>
  <si>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</si>
  <si>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</si>
  <si>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</si>
  <si>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</si>
  <si>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</si>
  <si>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</si>
  <si>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</si>
  <si>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</si>
  <si>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</si>
  <si>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</si>
  <si>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</si>
  <si>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</si>
  <si>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</si>
  <si>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</si>
  <si>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</si>
  <si>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</si>
  <si>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</si>
  <si>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</si>
  <si>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</si>
  <si>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</si>
  <si>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</si>
  <si>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</si>
  <si>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</si>
  <si>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</si>
  <si>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</si>
  <si>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</si>
  <si>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</si>
  <si>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</si>
  <si>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</si>
  <si>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</si>
  <si>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</si>
  <si>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</si>
  <si>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</si>
  <si>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</si>
  <si>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</si>
  <si>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</si>
  <si>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</si>
  <si>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</si>
  <si>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</si>
  <si>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</si>
  <si>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</si>
  <si>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</si>
  <si>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</si>
  <si>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</si>
  <si>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</si>
  <si>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</si>
  <si>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</si>
  <si>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</si>
  <si>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</si>
  <si>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</si>
  <si>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</si>
  <si>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</si>
  <si>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</si>
  <si>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</si>
  <si>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</si>
  <si>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</si>
  <si>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</si>
  <si>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</si>
  <si>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</si>
  <si>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</si>
  <si>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</si>
  <si>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</si>
  <si>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</si>
  <si>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</si>
  <si>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</si>
  <si>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</si>
  <si>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</si>
  <si>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</si>
  <si>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</si>
  <si>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</si>
  <si>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</si>
  <si>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</si>
  <si>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</si>
  <si>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</si>
  <si>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</si>
  <si>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</si>
  <si>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</si>
  <si>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</si>
  <si>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</si>
  <si>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</si>
  <si>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</si>
  <si>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</si>
  <si>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</si>
  <si>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</si>
  <si>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</si>
  <si>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</si>
  <si>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</si>
  <si>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</si>
  <si>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</si>
  <si>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</si>
  <si>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</si>
  <si>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</si>
  <si>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</si>
  <si>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</si>
  <si>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</si>
  <si>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</si>
  <si>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</si>
  <si>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</si>
  <si>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</si>
  <si>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</si>
  <si>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</si>
  <si>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</si>
  <si>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</si>
  <si>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</si>
  <si>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</si>
  <si>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</si>
  <si>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</si>
  <si>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</si>
  <si>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</si>
  <si>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</si>
  <si>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</si>
  <si>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</si>
  <si>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</si>
  <si>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</si>
  <si>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</si>
  <si>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</si>
  <si>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</si>
  <si>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</si>
  <si>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</si>
  <si>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</si>
  <si>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</si>
  <si>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</si>
  <si>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</si>
  <si>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</si>
  <si>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</si>
  <si>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</si>
  <si>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</si>
  <si>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</si>
  <si>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</si>
  <si>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</si>
  <si>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</si>
  <si>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</si>
  <si>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</si>
  <si>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</si>
  <si>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</si>
  <si>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</si>
  <si>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</si>
  <si>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</si>
  <si>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</si>
  <si>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</si>
  <si>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</si>
  <si>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</si>
  <si>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</si>
  <si>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</si>
  <si>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</si>
  <si>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</si>
  <si>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</si>
  <si>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</si>
  <si>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</si>
  <si>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</si>
  <si>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</si>
  <si>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</si>
  <si>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</si>
  <si>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</si>
  <si>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</si>
  <si>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</si>
  <si>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</si>
  <si>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</si>
  <si>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</si>
  <si>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41011</t>
  </si>
  <si>
    <t>DENDERLEEUW</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</si>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</sst>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41011</v>
      </c>
      <c r="B6" s="396"/>
      <c r="C6" s="397"/>
    </row>
    <row r="7" spans="1:7" s="394" customFormat="1" ht="15.75" customHeight="1">
      <c r="A7" s="398" t="str">
        <f>txtMunicipality</f>
        <v>DENDERLEEUW</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41011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7854</v>
      </c>
      <c r="C9" s="336">
        <v>8779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393</v>
      </c>
    </row>
    <row r="15" spans="1:6">
      <c r="A15" s="1194" t="s">
        <v>185</v>
      </c>
      <c r="B15" s="333">
        <v>2</v>
      </c>
    </row>
    <row r="16" spans="1:6">
      <c r="A16" s="1194" t="s">
        <v>6</v>
      </c>
      <c r="B16" s="333">
        <v>108</v>
      </c>
    </row>
    <row r="17" spans="1:6">
      <c r="A17" s="1194" t="s">
        <v>7</v>
      </c>
      <c r="B17" s="333">
        <v>66</v>
      </c>
    </row>
    <row r="18" spans="1:6">
      <c r="A18" s="1194" t="s">
        <v>8</v>
      </c>
      <c r="B18" s="333">
        <v>129</v>
      </c>
    </row>
    <row r="19" spans="1:6">
      <c r="A19" s="1194" t="s">
        <v>9</v>
      </c>
      <c r="B19" s="333">
        <v>131</v>
      </c>
    </row>
    <row r="20" spans="1:6">
      <c r="A20" s="1194" t="s">
        <v>10</v>
      </c>
      <c r="B20" s="333">
        <v>77</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53</v>
      </c>
    </row>
    <row r="27" spans="1:6">
      <c r="A27" s="1194" t="s">
        <v>17</v>
      </c>
      <c r="B27" s="333">
        <v>0</v>
      </c>
    </row>
    <row r="28" spans="1:6">
      <c r="A28" s="1194" t="s">
        <v>18</v>
      </c>
      <c r="B28" s="333">
        <v>0</v>
      </c>
    </row>
    <row r="29" spans="1:6">
      <c r="A29" s="1194" t="s">
        <v>888</v>
      </c>
      <c r="B29" s="333">
        <v>13</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345017.63396763499</v>
      </c>
      <c r="E38" s="333">
        <v>1</v>
      </c>
      <c r="F38" s="333">
        <v>4019.3980273888001</v>
      </c>
    </row>
    <row r="39" spans="1:6">
      <c r="A39" s="1194" t="s">
        <v>30</v>
      </c>
      <c r="B39" s="1194" t="s">
        <v>31</v>
      </c>
      <c r="C39" s="333">
        <v>4637</v>
      </c>
      <c r="D39" s="333">
        <v>74998381.904835403</v>
      </c>
      <c r="E39" s="333">
        <v>7939</v>
      </c>
      <c r="F39" s="333">
        <v>33433045.398372501</v>
      </c>
    </row>
    <row r="40" spans="1:6">
      <c r="A40" s="1194" t="s">
        <v>30</v>
      </c>
      <c r="B40" s="1194" t="s">
        <v>29</v>
      </c>
      <c r="C40" s="333">
        <v>0</v>
      </c>
      <c r="D40" s="333">
        <v>0</v>
      </c>
      <c r="E40" s="333">
        <v>0</v>
      </c>
      <c r="F40" s="333">
        <v>0</v>
      </c>
    </row>
    <row r="41" spans="1:6">
      <c r="A41" s="1194" t="s">
        <v>32</v>
      </c>
      <c r="B41" s="1194" t="s">
        <v>33</v>
      </c>
      <c r="C41" s="333">
        <v>12</v>
      </c>
      <c r="D41" s="333">
        <v>304689.910314109</v>
      </c>
      <c r="E41" s="333">
        <v>84</v>
      </c>
      <c r="F41" s="333">
        <v>1405304.3788255299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646805.79362850799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5</v>
      </c>
      <c r="F47" s="333">
        <v>25028.132604085898</v>
      </c>
    </row>
    <row r="48" spans="1:6">
      <c r="A48" s="1194" t="s">
        <v>32</v>
      </c>
      <c r="B48" s="1194" t="s">
        <v>29</v>
      </c>
      <c r="C48" s="333">
        <v>45</v>
      </c>
      <c r="D48" s="333">
        <v>2227911.2853943598</v>
      </c>
      <c r="E48" s="333">
        <v>55</v>
      </c>
      <c r="F48" s="333">
        <v>19841867.317214798</v>
      </c>
    </row>
    <row r="49" spans="1:6">
      <c r="A49" s="1194" t="s">
        <v>32</v>
      </c>
      <c r="B49" s="1194" t="s">
        <v>40</v>
      </c>
      <c r="C49" s="333">
        <v>0</v>
      </c>
      <c r="D49" s="333">
        <v>0</v>
      </c>
      <c r="E49" s="333">
        <v>3</v>
      </c>
      <c r="F49" s="333">
        <v>11193.3260756704</v>
      </c>
    </row>
    <row r="50" spans="1:6">
      <c r="A50" s="1194" t="s">
        <v>32</v>
      </c>
      <c r="B50" s="1194" t="s">
        <v>41</v>
      </c>
      <c r="C50" s="333">
        <v>8</v>
      </c>
      <c r="D50" s="333">
        <v>485314.35858680098</v>
      </c>
      <c r="E50" s="333">
        <v>13</v>
      </c>
      <c r="F50" s="333">
        <v>381277.40667121398</v>
      </c>
    </row>
    <row r="51" spans="1:6">
      <c r="A51" s="1194" t="s">
        <v>42</v>
      </c>
      <c r="B51" s="1194" t="s">
        <v>43</v>
      </c>
      <c r="C51" s="333">
        <v>0</v>
      </c>
      <c r="D51" s="333">
        <v>0</v>
      </c>
      <c r="E51" s="333">
        <v>0</v>
      </c>
      <c r="F51" s="333">
        <v>0</v>
      </c>
    </row>
    <row r="52" spans="1:6">
      <c r="A52" s="1194" t="s">
        <v>42</v>
      </c>
      <c r="B52" s="1194" t="s">
        <v>29</v>
      </c>
      <c r="C52" s="333">
        <v>3</v>
      </c>
      <c r="D52" s="333">
        <v>39090.759918957803</v>
      </c>
      <c r="E52" s="333">
        <v>10</v>
      </c>
      <c r="F52" s="333">
        <v>115777.606689708</v>
      </c>
    </row>
    <row r="53" spans="1:6">
      <c r="A53" s="1194" t="s">
        <v>44</v>
      </c>
      <c r="B53" s="1194" t="s">
        <v>45</v>
      </c>
      <c r="C53" s="333">
        <v>134</v>
      </c>
      <c r="D53" s="333">
        <v>2508531.4466681499</v>
      </c>
      <c r="E53" s="333">
        <v>267</v>
      </c>
      <c r="F53" s="333">
        <v>1339226.1885556299</v>
      </c>
    </row>
    <row r="54" spans="1:6">
      <c r="A54" s="1194" t="s">
        <v>46</v>
      </c>
      <c r="B54" s="1194" t="s">
        <v>47</v>
      </c>
      <c r="C54" s="333">
        <v>0</v>
      </c>
      <c r="D54" s="333">
        <v>0</v>
      </c>
      <c r="E54" s="333">
        <v>1</v>
      </c>
      <c r="F54" s="333">
        <v>1208012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12</v>
      </c>
      <c r="D57" s="333">
        <v>397775.84467472701</v>
      </c>
      <c r="E57" s="333">
        <v>87</v>
      </c>
      <c r="F57" s="333">
        <v>1232740.0408711501</v>
      </c>
    </row>
    <row r="58" spans="1:6">
      <c r="A58" s="1194" t="s">
        <v>49</v>
      </c>
      <c r="B58" s="1194" t="s">
        <v>51</v>
      </c>
      <c r="C58" s="333">
        <v>9</v>
      </c>
      <c r="D58" s="333">
        <v>344676.353445174</v>
      </c>
      <c r="E58" s="333">
        <v>12</v>
      </c>
      <c r="F58" s="333">
        <v>468548.86359023798</v>
      </c>
    </row>
    <row r="59" spans="1:6">
      <c r="A59" s="1194" t="s">
        <v>49</v>
      </c>
      <c r="B59" s="1194" t="s">
        <v>52</v>
      </c>
      <c r="C59" s="333">
        <v>32</v>
      </c>
      <c r="D59" s="333">
        <v>1361113.2370188001</v>
      </c>
      <c r="E59" s="333">
        <v>112</v>
      </c>
      <c r="F59" s="333">
        <v>5120321.1590243699</v>
      </c>
    </row>
    <row r="60" spans="1:6">
      <c r="A60" s="1194" t="s">
        <v>49</v>
      </c>
      <c r="B60" s="1194" t="s">
        <v>53</v>
      </c>
      <c r="C60" s="333">
        <v>38</v>
      </c>
      <c r="D60" s="333">
        <v>1172341.3082810999</v>
      </c>
      <c r="E60" s="333">
        <v>52</v>
      </c>
      <c r="F60" s="333">
        <v>906648.96424150805</v>
      </c>
    </row>
    <row r="61" spans="1:6">
      <c r="A61" s="1194" t="s">
        <v>49</v>
      </c>
      <c r="B61" s="1194" t="s">
        <v>54</v>
      </c>
      <c r="C61" s="333">
        <v>51</v>
      </c>
      <c r="D61" s="333">
        <v>2935424.5559904901</v>
      </c>
      <c r="E61" s="333">
        <v>156</v>
      </c>
      <c r="F61" s="333">
        <v>1956216.6213623099</v>
      </c>
    </row>
    <row r="62" spans="1:6">
      <c r="A62" s="1194" t="s">
        <v>49</v>
      </c>
      <c r="B62" s="1194" t="s">
        <v>55</v>
      </c>
      <c r="C62" s="333">
        <v>10</v>
      </c>
      <c r="D62" s="333">
        <v>2619861.6197349401</v>
      </c>
      <c r="E62" s="333">
        <v>9</v>
      </c>
      <c r="F62" s="333">
        <v>564273.16808076098</v>
      </c>
    </row>
    <row r="63" spans="1:6">
      <c r="A63" s="1194" t="s">
        <v>49</v>
      </c>
      <c r="B63" s="1194" t="s">
        <v>29</v>
      </c>
      <c r="C63" s="333">
        <v>124</v>
      </c>
      <c r="D63" s="333">
        <v>126767805.939098</v>
      </c>
      <c r="E63" s="333">
        <v>178</v>
      </c>
      <c r="F63" s="333">
        <v>3738009.9826977002</v>
      </c>
    </row>
    <row r="64" spans="1:6">
      <c r="A64" s="1194" t="s">
        <v>56</v>
      </c>
      <c r="B64" s="1194" t="s">
        <v>57</v>
      </c>
      <c r="C64" s="333">
        <v>0</v>
      </c>
      <c r="D64" s="333">
        <v>0</v>
      </c>
      <c r="E64" s="333">
        <v>0</v>
      </c>
      <c r="F64" s="333">
        <v>0</v>
      </c>
    </row>
    <row r="65" spans="1:6">
      <c r="A65" s="1194" t="s">
        <v>56</v>
      </c>
      <c r="B65" s="1194" t="s">
        <v>29</v>
      </c>
      <c r="C65" s="333">
        <v>4</v>
      </c>
      <c r="D65" s="333">
        <v>92839.783364703704</v>
      </c>
      <c r="E65" s="333">
        <v>5</v>
      </c>
      <c r="F65" s="333">
        <v>19978.815346684602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24531163</v>
      </c>
      <c r="E73" s="333">
        <v>24334830.451623473</v>
      </c>
      <c r="F73" s="333">
        <v>26271099</v>
      </c>
    </row>
    <row r="74" spans="1:6">
      <c r="A74" s="1194" t="s">
        <v>64</v>
      </c>
      <c r="B74" s="1194" t="s">
        <v>775</v>
      </c>
      <c r="C74" s="1205" t="s">
        <v>776</v>
      </c>
      <c r="D74" s="333">
        <v>1405320.129085951</v>
      </c>
      <c r="E74" s="333">
        <v>1487225.9620679466</v>
      </c>
      <c r="F74" s="333">
        <v>1519994.0000890167</v>
      </c>
    </row>
    <row r="75" spans="1:6">
      <c r="A75" s="1194" t="s">
        <v>65</v>
      </c>
      <c r="B75" s="1194" t="s">
        <v>773</v>
      </c>
      <c r="C75" s="1205" t="s">
        <v>777</v>
      </c>
      <c r="D75" s="333">
        <v>26208066</v>
      </c>
      <c r="E75" s="333">
        <v>26002890.01805605</v>
      </c>
      <c r="F75" s="333">
        <v>28075373</v>
      </c>
    </row>
    <row r="76" spans="1:6">
      <c r="A76" s="1194" t="s">
        <v>65</v>
      </c>
      <c r="B76" s="1194" t="s">
        <v>775</v>
      </c>
      <c r="C76" s="1205" t="s">
        <v>778</v>
      </c>
      <c r="D76" s="333">
        <v>513176.12908595102</v>
      </c>
      <c r="E76" s="333">
        <v>556412.00186454505</v>
      </c>
      <c r="F76" s="333">
        <v>576058.00008901686</v>
      </c>
    </row>
    <row r="77" spans="1:6">
      <c r="A77" s="1194" t="s">
        <v>66</v>
      </c>
      <c r="B77" s="1194" t="s">
        <v>773</v>
      </c>
      <c r="C77" s="1205" t="s">
        <v>779</v>
      </c>
      <c r="D77" s="333">
        <v>5853481</v>
      </c>
      <c r="E77" s="333">
        <v>6654942.3041345924</v>
      </c>
      <c r="F77" s="333">
        <v>6209827</v>
      </c>
    </row>
    <row r="78" spans="1:6">
      <c r="A78" s="1190" t="s">
        <v>66</v>
      </c>
      <c r="B78" s="1190" t="s">
        <v>775</v>
      </c>
      <c r="C78" s="1190" t="s">
        <v>780</v>
      </c>
      <c r="D78" s="1190">
        <v>711151</v>
      </c>
      <c r="E78" s="1190">
        <v>764360.98040996678</v>
      </c>
      <c r="F78" s="336">
        <v>745281</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271745.74182809796</v>
      </c>
      <c r="C83" s="333">
        <v>248274.44908809243</v>
      </c>
      <c r="D83" s="333">
        <v>244697.99982196637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1418.5479644923259</v>
      </c>
    </row>
    <row r="92" spans="1:6">
      <c r="A92" s="1190" t="s">
        <v>69</v>
      </c>
      <c r="B92" s="336">
        <v>420.52498182105262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2673</v>
      </c>
    </row>
    <row r="98" spans="1:6">
      <c r="A98" s="1194" t="s">
        <v>72</v>
      </c>
      <c r="B98" s="333">
        <v>0</v>
      </c>
    </row>
    <row r="99" spans="1:6">
      <c r="A99" s="1194" t="s">
        <v>73</v>
      </c>
      <c r="B99" s="333">
        <v>112</v>
      </c>
    </row>
    <row r="100" spans="1:6">
      <c r="A100" s="1194" t="s">
        <v>74</v>
      </c>
      <c r="B100" s="333">
        <v>655</v>
      </c>
    </row>
    <row r="101" spans="1:6">
      <c r="A101" s="1194" t="s">
        <v>75</v>
      </c>
      <c r="B101" s="333">
        <v>40</v>
      </c>
    </row>
    <row r="102" spans="1:6">
      <c r="A102" s="1194" t="s">
        <v>76</v>
      </c>
      <c r="B102" s="333">
        <v>98</v>
      </c>
    </row>
    <row r="103" spans="1:6">
      <c r="A103" s="1194" t="s">
        <v>77</v>
      </c>
      <c r="B103" s="333">
        <v>226</v>
      </c>
    </row>
    <row r="104" spans="1:6">
      <c r="A104" s="1194" t="s">
        <v>78</v>
      </c>
      <c r="B104" s="333">
        <v>2985</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1</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29</v>
      </c>
    </row>
    <row r="130" spans="1:6">
      <c r="A130" s="1194" t="s">
        <v>296</v>
      </c>
      <c r="B130" s="333">
        <v>1</v>
      </c>
    </row>
    <row r="131" spans="1:6">
      <c r="A131" s="1194" t="s">
        <v>297</v>
      </c>
      <c r="B131" s="333">
        <v>9</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72474.069962241556</v>
      </c>
      <c r="C3" s="43" t="s">
        <v>171</v>
      </c>
      <c r="D3" s="43"/>
      <c r="E3" s="156"/>
      <c r="F3" s="43"/>
      <c r="G3" s="43"/>
      <c r="H3" s="43"/>
      <c r="I3" s="43"/>
      <c r="J3" s="43"/>
      <c r="K3" s="96"/>
    </row>
    <row r="4" spans="1:11">
      <c r="A4" s="364" t="s">
        <v>172</v>
      </c>
      <c r="B4" s="49">
        <f>IF(ISERROR('SEAP template'!B69),0,'SEAP template'!B69)</f>
        <v>1839.0729463133785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0.21539199259339231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1208.0119999999999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1208.0119999999999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0.21539199259339231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260.19611175672901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33433.045398372502</v>
      </c>
      <c r="C5" s="17">
        <f>IF(ISERROR('Eigen informatie GS &amp; warmtenet'!B57),0,'Eigen informatie GS &amp; warmtenet'!B57)</f>
        <v>0</v>
      </c>
      <c r="D5" s="30">
        <f>(SUM(HH_hh_gas_kWh,HH_rest_gas_kWh)/1000)*0.902</f>
        <v>67648.540478161536</v>
      </c>
      <c r="E5" s="17">
        <f>B46*B57</f>
        <v>5595.3611906094648</v>
      </c>
      <c r="F5" s="17">
        <f>B51*B62</f>
        <v>27759.283674738082</v>
      </c>
      <c r="G5" s="18"/>
      <c r="H5" s="17"/>
      <c r="I5" s="17"/>
      <c r="J5" s="17">
        <f>B50*B61+C50*C61</f>
        <v>849.10703138311862</v>
      </c>
      <c r="K5" s="17"/>
      <c r="L5" s="17"/>
      <c r="M5" s="17"/>
      <c r="N5" s="17">
        <f>B48*B59+C48*C59</f>
        <v>5781.8922744093425</v>
      </c>
      <c r="O5" s="17">
        <f>B69*B70*B71</f>
        <v>59.406666666666666</v>
      </c>
      <c r="P5" s="17">
        <f>B77*B78*B79/1000-B77*B78*B79/1000/B80</f>
        <v>190.66666666666669</v>
      </c>
    </row>
    <row r="6" spans="1:16">
      <c r="A6" s="16" t="s">
        <v>633</v>
      </c>
      <c r="B6" s="830">
        <f>kWh_PV_kleiner_dan_10kW</f>
        <v>1418.5479644923259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34851.593362864827</v>
      </c>
      <c r="C8" s="21">
        <f>C5</f>
        <v>0</v>
      </c>
      <c r="D8" s="21">
        <f>D5</f>
        <v>67648.540478161536</v>
      </c>
      <c r="E8" s="21">
        <f>E5</f>
        <v>5595.3611906094648</v>
      </c>
      <c r="F8" s="21">
        <f>F5</f>
        <v>27759.283674738082</v>
      </c>
      <c r="G8" s="21"/>
      <c r="H8" s="21"/>
      <c r="I8" s="21"/>
      <c r="J8" s="21">
        <f>J5</f>
        <v>849.10703138311862</v>
      </c>
      <c r="K8" s="21"/>
      <c r="L8" s="21">
        <f>L5</f>
        <v>0</v>
      </c>
      <c r="M8" s="21">
        <f>M5</f>
        <v>0</v>
      </c>
      <c r="N8" s="21">
        <f>N5</f>
        <v>5781.8922744093425</v>
      </c>
      <c r="O8" s="21">
        <f>O5</f>
        <v>59.406666666666666</v>
      </c>
      <c r="P8" s="21">
        <f>P5</f>
        <v>190.66666666666669</v>
      </c>
    </row>
    <row r="9" spans="1:16">
      <c r="B9" s="19"/>
      <c r="C9" s="19"/>
      <c r="D9" s="260"/>
      <c r="E9" s="19"/>
      <c r="F9" s="19"/>
      <c r="G9" s="19"/>
      <c r="H9" s="19"/>
      <c r="I9" s="19"/>
      <c r="J9" s="19"/>
      <c r="K9" s="19"/>
      <c r="L9" s="19"/>
      <c r="M9" s="19"/>
      <c r="N9" s="19"/>
      <c r="O9" s="19"/>
      <c r="P9" s="19"/>
    </row>
    <row r="10" spans="1:16">
      <c r="A10" s="24" t="s">
        <v>215</v>
      </c>
      <c r="B10" s="25">
        <f ca="1">'EF ele_warmte'!B12</f>
        <v>0.21539199259339231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7506.7541394821019</v>
      </c>
      <c r="C12" s="23">
        <f ca="1">C10*C8</f>
        <v>0</v>
      </c>
      <c r="D12" s="23">
        <f>D8*D10</f>
        <v>13665.005176588631</v>
      </c>
      <c r="E12" s="23">
        <f>E10*E8</f>
        <v>1270.1469902683486</v>
      </c>
      <c r="F12" s="23">
        <f>F10*F8</f>
        <v>7411.7287411550687</v>
      </c>
      <c r="G12" s="23"/>
      <c r="H12" s="23"/>
      <c r="I12" s="23"/>
      <c r="J12" s="23">
        <f>J10*J8</f>
        <v>300.58388910962395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2673</v>
      </c>
      <c r="C18" s="167" t="s">
        <v>111</v>
      </c>
      <c r="D18" s="229"/>
      <c r="E18" s="15"/>
    </row>
    <row r="19" spans="1:7">
      <c r="A19" s="172" t="s">
        <v>72</v>
      </c>
      <c r="B19" s="37">
        <f>aantalw2001_ander</f>
        <v>0</v>
      </c>
      <c r="C19" s="167" t="s">
        <v>111</v>
      </c>
      <c r="D19" s="230"/>
      <c r="E19" s="15"/>
    </row>
    <row r="20" spans="1:7">
      <c r="A20" s="172" t="s">
        <v>73</v>
      </c>
      <c r="B20" s="37">
        <f>aantalw2001_propaan</f>
        <v>112</v>
      </c>
      <c r="C20" s="168">
        <f>IF(ISERROR(B20/SUM($B$20,$B$21,$B$22)*100),0,B20/SUM($B$20,$B$21,$B$22)*100)</f>
        <v>13.878562577447337</v>
      </c>
      <c r="D20" s="230"/>
      <c r="E20" s="15"/>
    </row>
    <row r="21" spans="1:7">
      <c r="A21" s="172" t="s">
        <v>74</v>
      </c>
      <c r="B21" s="37">
        <f>aantalw2001_elektriciteit</f>
        <v>655</v>
      </c>
      <c r="C21" s="168">
        <f>IF(ISERROR(B21/SUM($B$20,$B$21,$B$22)*100),0,B21/SUM($B$20,$B$21,$B$22)*100)</f>
        <v>81.164807930607182</v>
      </c>
      <c r="D21" s="230"/>
      <c r="E21" s="15"/>
    </row>
    <row r="22" spans="1:7">
      <c r="A22" s="172" t="s">
        <v>75</v>
      </c>
      <c r="B22" s="37">
        <f>aantalw2001_hout</f>
        <v>40</v>
      </c>
      <c r="C22" s="168">
        <f>IF(ISERROR(B22/SUM($B$20,$B$21,$B$22)*100),0,B22/SUM($B$20,$B$21,$B$22)*100)</f>
        <v>4.9566294919454776</v>
      </c>
      <c r="D22" s="230"/>
      <c r="E22" s="15"/>
    </row>
    <row r="23" spans="1:7">
      <c r="A23" s="172" t="s">
        <v>76</v>
      </c>
      <c r="B23" s="37">
        <f>aantalw2001_niet_gespec</f>
        <v>98</v>
      </c>
      <c r="C23" s="167" t="s">
        <v>111</v>
      </c>
      <c r="D23" s="229"/>
      <c r="E23" s="15"/>
    </row>
    <row r="24" spans="1:7">
      <c r="A24" s="172" t="s">
        <v>77</v>
      </c>
      <c r="B24" s="37">
        <f>aantalw2001_steenkool</f>
        <v>226</v>
      </c>
      <c r="C24" s="167" t="s">
        <v>111</v>
      </c>
      <c r="D24" s="230"/>
      <c r="E24" s="15"/>
    </row>
    <row r="25" spans="1:7">
      <c r="A25" s="172" t="s">
        <v>78</v>
      </c>
      <c r="B25" s="37">
        <f>aantalw2001_stookolie</f>
        <v>2985</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7854</v>
      </c>
      <c r="C28" s="36"/>
      <c r="D28" s="229"/>
    </row>
    <row r="29" spans="1:7" s="15" customFormat="1">
      <c r="A29" s="231" t="s">
        <v>714</v>
      </c>
      <c r="B29" s="37">
        <f>SUM(HH_hh_gas_aantal,HH_rest_gas_aantal)</f>
        <v>4637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4637</v>
      </c>
      <c r="C32" s="168">
        <f>IF(ISERROR(B32/SUM($B$32,$B$34,$B$35,$B$36,$B$38,$B$39)*100),0,B32/SUM($B$32,$B$34,$B$35,$B$36,$B$38,$B$39)*100)</f>
        <v>59.115247322794495</v>
      </c>
      <c r="D32" s="234"/>
      <c r="G32" s="15"/>
    </row>
    <row r="33" spans="1:7">
      <c r="A33" s="172" t="s">
        <v>72</v>
      </c>
      <c r="B33" s="34" t="s">
        <v>111</v>
      </c>
      <c r="C33" s="168"/>
      <c r="D33" s="234"/>
      <c r="G33" s="15"/>
    </row>
    <row r="34" spans="1:7">
      <c r="A34" s="172" t="s">
        <v>73</v>
      </c>
      <c r="B34" s="33">
        <f>IF((($B$28-$B$32-$B$39-$B$77-$B$38)*C20/100)&lt;0,0,($B$28-$B$32-$B$39-$B$77-$B$38)*C20/100)</f>
        <v>272.01982651796783</v>
      </c>
      <c r="C34" s="168">
        <f>IF(ISERROR(B34/SUM($B$32,$B$34,$B$35,$B$36,$B$38,$B$39)*100),0,B34/SUM($B$32,$B$34,$B$35,$B$36,$B$38,$B$39)*100)</f>
        <v>3.4678713222586413</v>
      </c>
      <c r="D34" s="234"/>
      <c r="G34" s="15"/>
    </row>
    <row r="35" spans="1:7">
      <c r="A35" s="172" t="s">
        <v>74</v>
      </c>
      <c r="B35" s="33">
        <f>IF((($B$28-$B$32-$B$39-$B$77-$B$38)*C21/100)&lt;0,0,($B$28-$B$32-$B$39-$B$77-$B$38)*C21/100)</f>
        <v>1590.8302354399011</v>
      </c>
      <c r="C35" s="168">
        <f>IF(ISERROR(B35/SUM($B$32,$B$34,$B$35,$B$36,$B$38,$B$39)*100),0,B35/SUM($B$32,$B$34,$B$35,$B$36,$B$38,$B$39)*100)</f>
        <v>20.280854607851875</v>
      </c>
      <c r="D35" s="234"/>
      <c r="G35" s="15"/>
    </row>
    <row r="36" spans="1:7">
      <c r="A36" s="172" t="s">
        <v>75</v>
      </c>
      <c r="B36" s="33">
        <f>IF((($B$28-$B$32-$B$39-$B$77-$B$38)*C22/100)&lt;0,0,($B$28-$B$32-$B$39-$B$77-$B$38)*C22/100)</f>
        <v>97.149938042131382</v>
      </c>
      <c r="C36" s="168">
        <f>IF(ISERROR(B36/SUM($B$32,$B$34,$B$35,$B$36,$B$38,$B$39)*100),0,B36/SUM($B$32,$B$34,$B$35,$B$36,$B$38,$B$39)*100)</f>
        <v>1.2385254722352292</v>
      </c>
      <c r="D36" s="234"/>
      <c r="G36" s="15"/>
    </row>
    <row r="37" spans="1:7">
      <c r="A37" s="172" t="s">
        <v>76</v>
      </c>
      <c r="B37" s="34" t="s">
        <v>111</v>
      </c>
      <c r="C37" s="168"/>
      <c r="D37" s="174"/>
      <c r="G37" s="15"/>
    </row>
    <row r="38" spans="1:7">
      <c r="A38" s="172" t="s">
        <v>77</v>
      </c>
      <c r="B38" s="33">
        <f>IF((B24-(B29-B18)*0.1)&lt;0,0,B24-(B29-B18)*0.1)</f>
        <v>29.599999999999994</v>
      </c>
      <c r="C38" s="168">
        <f>IF(ISERROR(B38/SUM($B$32,$B$34,$B$35,$B$36,$B$38,$B$39)*100),0,B38/SUM($B$32,$B$34,$B$35,$B$36,$B$38,$B$39)*100)</f>
        <v>0.37735849056603765</v>
      </c>
      <c r="D38" s="235"/>
      <c r="G38" s="15"/>
    </row>
    <row r="39" spans="1:7">
      <c r="A39" s="172" t="s">
        <v>78</v>
      </c>
      <c r="B39" s="33">
        <f>IF((B25-(B29-B18))&lt;0,0,B25-(B29-B18)*0.9)</f>
        <v>1217.3999999999999</v>
      </c>
      <c r="C39" s="168">
        <f>IF(ISERROR(B39/SUM($B$32,$B$34,$B$35,$B$36,$B$38,$B$39)*100),0,B39/SUM($B$32,$B$34,$B$35,$B$36,$B$38,$B$39)*100)</f>
        <v>15.520142784293725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4637</v>
      </c>
      <c r="C44" s="34" t="s">
        <v>111</v>
      </c>
      <c r="D44" s="175"/>
    </row>
    <row r="45" spans="1:7">
      <c r="A45" s="172" t="s">
        <v>72</v>
      </c>
      <c r="B45" s="33" t="str">
        <f t="shared" si="0"/>
        <v>-</v>
      </c>
      <c r="C45" s="34" t="s">
        <v>111</v>
      </c>
      <c r="D45" s="175"/>
    </row>
    <row r="46" spans="1:7">
      <c r="A46" s="172" t="s">
        <v>73</v>
      </c>
      <c r="B46" s="33">
        <f t="shared" si="0"/>
        <v>272.01982651796783</v>
      </c>
      <c r="C46" s="34" t="s">
        <v>111</v>
      </c>
      <c r="D46" s="175"/>
    </row>
    <row r="47" spans="1:7">
      <c r="A47" s="172" t="s">
        <v>74</v>
      </c>
      <c r="B47" s="33">
        <f t="shared" si="0"/>
        <v>1590.8302354399011</v>
      </c>
      <c r="C47" s="34" t="s">
        <v>111</v>
      </c>
      <c r="D47" s="175"/>
    </row>
    <row r="48" spans="1:7">
      <c r="A48" s="172" t="s">
        <v>75</v>
      </c>
      <c r="B48" s="33">
        <f t="shared" si="0"/>
        <v>97.149938042131382</v>
      </c>
      <c r="C48" s="33">
        <f>B48*10</f>
        <v>971.49938042131384</v>
      </c>
      <c r="D48" s="235"/>
    </row>
    <row r="49" spans="1:6">
      <c r="A49" s="172" t="s">
        <v>76</v>
      </c>
      <c r="B49" s="33" t="str">
        <f t="shared" si="0"/>
        <v>-</v>
      </c>
      <c r="C49" s="34" t="s">
        <v>111</v>
      </c>
      <c r="D49" s="235"/>
    </row>
    <row r="50" spans="1:6">
      <c r="A50" s="172" t="s">
        <v>77</v>
      </c>
      <c r="B50" s="33">
        <f t="shared" si="0"/>
        <v>29.599999999999994</v>
      </c>
      <c r="C50" s="33">
        <f>B50*2</f>
        <v>59.199999999999989</v>
      </c>
      <c r="D50" s="235"/>
    </row>
    <row r="51" spans="1:6">
      <c r="A51" s="172" t="s">
        <v>78</v>
      </c>
      <c r="B51" s="33">
        <f t="shared" si="0"/>
        <v>1217.3999999999999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13986.758799868039</v>
      </c>
      <c r="C5" s="17">
        <f>IF(ISERROR('Eigen informatie GS &amp; warmtenet'!B58),0,'Eigen informatie GS &amp; warmtenet'!B58)</f>
        <v>0</v>
      </c>
      <c r="D5" s="30">
        <f>SUM(D6:D12)</f>
        <v>122310.2969701354</v>
      </c>
      <c r="E5" s="17">
        <f>SUM(E6:E12)</f>
        <v>234.21787286179577</v>
      </c>
      <c r="F5" s="17">
        <f>SUM(F6:F12)</f>
        <v>2832.1499720365741</v>
      </c>
      <c r="G5" s="18"/>
      <c r="H5" s="17"/>
      <c r="I5" s="17"/>
      <c r="J5" s="17">
        <f>SUM(J6:J12)</f>
        <v>0</v>
      </c>
      <c r="K5" s="17"/>
      <c r="L5" s="17"/>
      <c r="M5" s="17"/>
      <c r="N5" s="17">
        <f>SUM(N6:N12)</f>
        <v>413.36833793672054</v>
      </c>
      <c r="O5" s="17">
        <f>B38*B39*B40</f>
        <v>1.5633333333333335</v>
      </c>
      <c r="P5" s="17">
        <f>B46*B47*B48/1000-B46*B47*B48/1000/B49</f>
        <v>171.6</v>
      </c>
      <c r="R5" s="32"/>
    </row>
    <row r="6" spans="1:18">
      <c r="A6" s="32" t="s">
        <v>54</v>
      </c>
      <c r="B6" s="37">
        <f>B26</f>
        <v>1956.21662136231</v>
      </c>
      <c r="C6" s="33"/>
      <c r="D6" s="37">
        <f>IF(ISERROR(TER_kantoor_gas_kWh/1000),0,TER_kantoor_gas_kWh/1000)*0.902</f>
        <v>2647.7529495034223</v>
      </c>
      <c r="E6" s="33">
        <f>$C$26*'E Balans VL '!I12/100/3.6*1000000</f>
        <v>68.47527700823295</v>
      </c>
      <c r="F6" s="33">
        <f>$C$26*('E Balans VL '!L12+'E Balans VL '!N12)/100/3.6*1000000</f>
        <v>296.60443935782888</v>
      </c>
      <c r="G6" s="34"/>
      <c r="H6" s="33"/>
      <c r="I6" s="33"/>
      <c r="J6" s="33">
        <f>$C$26*('E Balans VL '!D12+'E Balans VL '!E12)/100/3.6*1000000</f>
        <v>0</v>
      </c>
      <c r="K6" s="33"/>
      <c r="L6" s="33"/>
      <c r="M6" s="33"/>
      <c r="N6" s="33">
        <f>$C$26*'E Balans VL '!Y12/100/3.6*1000000</f>
        <v>15.120942204178844</v>
      </c>
      <c r="O6" s="33"/>
      <c r="P6" s="33"/>
      <c r="R6" s="32"/>
    </row>
    <row r="7" spans="1:18">
      <c r="A7" s="32" t="s">
        <v>53</v>
      </c>
      <c r="B7" s="37">
        <f t="shared" ref="B7:B12" si="0">B27</f>
        <v>906.648964241508</v>
      </c>
      <c r="C7" s="33"/>
      <c r="D7" s="37">
        <f>IF(ISERROR(TER_horeca_gas_kWh/1000),0,TER_horeca_gas_kWh/1000)*0.902</f>
        <v>1057.4518600695521</v>
      </c>
      <c r="E7" s="33">
        <f>$C$27*'E Balans VL '!I9/100/3.6*1000000</f>
        <v>51.147057078434905</v>
      </c>
      <c r="F7" s="33">
        <f>$C$27*('E Balans VL '!L9+'E Balans VL '!N9)/100/3.6*1000000</f>
        <v>157.94326703065994</v>
      </c>
      <c r="G7" s="34"/>
      <c r="H7" s="33"/>
      <c r="I7" s="33"/>
      <c r="J7" s="33">
        <f>$C$27*('E Balans VL '!D9+'E Balans VL '!E9)/100/3.6*1000000</f>
        <v>0</v>
      </c>
      <c r="K7" s="33"/>
      <c r="L7" s="33"/>
      <c r="M7" s="33"/>
      <c r="N7" s="33">
        <f>$C$27*'E Balans VL '!Y9/100/3.6*1000000</f>
        <v>0</v>
      </c>
      <c r="O7" s="33"/>
      <c r="P7" s="33"/>
      <c r="R7" s="32"/>
    </row>
    <row r="8" spans="1:18">
      <c r="A8" s="6" t="s">
        <v>52</v>
      </c>
      <c r="B8" s="37">
        <f t="shared" si="0"/>
        <v>5120.32115902437</v>
      </c>
      <c r="C8" s="33"/>
      <c r="D8" s="37">
        <f>IF(ISERROR(TER_handel_gas_kWh/1000),0,TER_handel_gas_kWh/1000)*0.902</f>
        <v>1227.7241397909579</v>
      </c>
      <c r="E8" s="33">
        <f>$C$28*'E Balans VL '!I13/100/3.6*1000000</f>
        <v>26.287208613346259</v>
      </c>
      <c r="F8" s="33">
        <f>$C$28*('E Balans VL '!L13+'E Balans VL '!N13)/100/3.6*1000000</f>
        <v>789.47440563792748</v>
      </c>
      <c r="G8" s="34"/>
      <c r="H8" s="33"/>
      <c r="I8" s="33"/>
      <c r="J8" s="33">
        <f>$C$28*('E Balans VL '!D13+'E Balans VL '!E13)/100/3.6*1000000</f>
        <v>0</v>
      </c>
      <c r="K8" s="33"/>
      <c r="L8" s="33"/>
      <c r="M8" s="33"/>
      <c r="N8" s="33">
        <f>$C$28*'E Balans VL '!Y13/100/3.6*1000000</f>
        <v>2.3948367080084378</v>
      </c>
      <c r="O8" s="33"/>
      <c r="P8" s="33"/>
      <c r="R8" s="32"/>
    </row>
    <row r="9" spans="1:18">
      <c r="A9" s="32" t="s">
        <v>51</v>
      </c>
      <c r="B9" s="37">
        <f t="shared" si="0"/>
        <v>468.548863590238</v>
      </c>
      <c r="C9" s="33"/>
      <c r="D9" s="37">
        <f>IF(ISERROR(TER_gezond_gas_kWh/1000),0,TER_gezond_gas_kWh/1000)*0.902</f>
        <v>310.89807080754696</v>
      </c>
      <c r="E9" s="33">
        <f>$C$29*'E Balans VL '!I10/100/3.6*1000000</f>
        <v>0.19421016707274039</v>
      </c>
      <c r="F9" s="33">
        <f>$C$29*('E Balans VL '!L10+'E Balans VL '!N10)/100/3.6*1000000</f>
        <v>115.39686521518904</v>
      </c>
      <c r="G9" s="34"/>
      <c r="H9" s="33"/>
      <c r="I9" s="33"/>
      <c r="J9" s="33">
        <f>$C$29*('E Balans VL '!D10+'E Balans VL '!E10)/100/3.6*1000000</f>
        <v>0</v>
      </c>
      <c r="K9" s="33"/>
      <c r="L9" s="33"/>
      <c r="M9" s="33"/>
      <c r="N9" s="33">
        <f>$C$29*'E Balans VL '!Y10/100/3.6*1000000</f>
        <v>4.0494218984808663</v>
      </c>
      <c r="O9" s="33"/>
      <c r="P9" s="33"/>
      <c r="R9" s="32"/>
    </row>
    <row r="10" spans="1:18">
      <c r="A10" s="32" t="s">
        <v>50</v>
      </c>
      <c r="B10" s="37">
        <f t="shared" si="0"/>
        <v>1232.7400408711501</v>
      </c>
      <c r="C10" s="33"/>
      <c r="D10" s="37">
        <f>IF(ISERROR(TER_ander_gas_kWh/1000),0,TER_ander_gas_kWh/1000)*0.902</f>
        <v>358.79381189660376</v>
      </c>
      <c r="E10" s="33">
        <f>$C$30*'E Balans VL '!I14/100/3.6*1000000</f>
        <v>7.514813704172596</v>
      </c>
      <c r="F10" s="33">
        <f>$C$30*('E Balans VL '!L14+'E Balans VL '!N14)/100/3.6*1000000</f>
        <v>326.81627145796898</v>
      </c>
      <c r="G10" s="34"/>
      <c r="H10" s="33"/>
      <c r="I10" s="33"/>
      <c r="J10" s="33">
        <f>$C$30*('E Balans VL '!D14+'E Balans VL '!E14)/100/3.6*1000000</f>
        <v>0</v>
      </c>
      <c r="K10" s="33"/>
      <c r="L10" s="33"/>
      <c r="M10" s="33"/>
      <c r="N10" s="33">
        <f>$C$30*'E Balans VL '!Y14/100/3.6*1000000</f>
        <v>284.11994186915302</v>
      </c>
      <c r="O10" s="33"/>
      <c r="P10" s="33"/>
      <c r="R10" s="32"/>
    </row>
    <row r="11" spans="1:18">
      <c r="A11" s="32" t="s">
        <v>55</v>
      </c>
      <c r="B11" s="37">
        <f t="shared" si="0"/>
        <v>564.27316808076102</v>
      </c>
      <c r="C11" s="33"/>
      <c r="D11" s="37">
        <f>IF(ISERROR(TER_onderwijs_gas_kWh/1000),0,TER_onderwijs_gas_kWh/1000)*0.902</f>
        <v>2363.115181000916</v>
      </c>
      <c r="E11" s="33">
        <f>$C$31*'E Balans VL '!I11/100/3.6*1000000</f>
        <v>0.43000553609180325</v>
      </c>
      <c r="F11" s="33">
        <f>$C$31*('E Balans VL '!L11+'E Balans VL '!N11)/100/3.6*1000000</f>
        <v>408.33898787950733</v>
      </c>
      <c r="G11" s="34"/>
      <c r="H11" s="33"/>
      <c r="I11" s="33"/>
      <c r="J11" s="33">
        <f>$C$31*('E Balans VL '!D11+'E Balans VL '!E11)/100/3.6*1000000</f>
        <v>0</v>
      </c>
      <c r="K11" s="33"/>
      <c r="L11" s="33"/>
      <c r="M11" s="33"/>
      <c r="N11" s="33">
        <f>$C$31*'E Balans VL '!Y11/100/3.6*1000000</f>
        <v>1.6630478851637807</v>
      </c>
      <c r="O11" s="33"/>
      <c r="P11" s="33"/>
      <c r="R11" s="32"/>
    </row>
    <row r="12" spans="1:18">
      <c r="A12" s="32" t="s">
        <v>261</v>
      </c>
      <c r="B12" s="37">
        <f t="shared" si="0"/>
        <v>3738.0099826977003</v>
      </c>
      <c r="C12" s="33"/>
      <c r="D12" s="37">
        <f>IF(ISERROR(TER_rest_gas_kWh/1000),0,TER_rest_gas_kWh/1000)*0.902</f>
        <v>114344.56095706641</v>
      </c>
      <c r="E12" s="33">
        <f>$C$32*'E Balans VL '!I8/100/3.6*1000000</f>
        <v>80.169300754444492</v>
      </c>
      <c r="F12" s="33">
        <f>$C$32*('E Balans VL '!L8+'E Balans VL '!N8)/100/3.6*1000000</f>
        <v>737.57573545749267</v>
      </c>
      <c r="G12" s="34"/>
      <c r="H12" s="33"/>
      <c r="I12" s="33"/>
      <c r="J12" s="33">
        <f>$C$32*('E Balans VL '!D8+'E Balans VL '!E8)/100/3.6*1000000</f>
        <v>0</v>
      </c>
      <c r="K12" s="33"/>
      <c r="L12" s="33"/>
      <c r="M12" s="33"/>
      <c r="N12" s="33">
        <f>$C$32*'E Balans VL '!Y8/100/3.6*1000000</f>
        <v>106.02014737173556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13986.758799868039</v>
      </c>
      <c r="C16" s="21">
        <f ca="1">C5+C13+C14</f>
        <v>0</v>
      </c>
      <c r="D16" s="21">
        <f t="shared" ref="D16:N16" ca="1" si="1">MAX((D5+D13+D14),0)</f>
        <v>122310.2969701354</v>
      </c>
      <c r="E16" s="21">
        <f t="shared" si="1"/>
        <v>234.21787286179577</v>
      </c>
      <c r="F16" s="21">
        <f t="shared" ca="1" si="1"/>
        <v>2832.1499720365741</v>
      </c>
      <c r="G16" s="21">
        <f t="shared" si="1"/>
        <v>0</v>
      </c>
      <c r="H16" s="21">
        <f t="shared" si="1"/>
        <v>0</v>
      </c>
      <c r="I16" s="21">
        <f t="shared" si="1"/>
        <v>0</v>
      </c>
      <c r="J16" s="21">
        <f t="shared" si="1"/>
        <v>0</v>
      </c>
      <c r="K16" s="21">
        <f t="shared" si="1"/>
        <v>0</v>
      </c>
      <c r="L16" s="21">
        <f t="shared" ca="1" si="1"/>
        <v>0</v>
      </c>
      <c r="M16" s="21">
        <f t="shared" si="1"/>
        <v>0</v>
      </c>
      <c r="N16" s="21">
        <f t="shared" ca="1" si="1"/>
        <v>413.36833793672054</v>
      </c>
      <c r="O16" s="21">
        <f>O5</f>
        <v>1.5633333333333335</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0.21539199259339231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3012.6358478267416</v>
      </c>
      <c r="C20" s="23">
        <f t="shared" ref="C20:P20" ca="1" si="2">C16*C18</f>
        <v>0</v>
      </c>
      <c r="D20" s="23">
        <f t="shared" ca="1" si="2"/>
        <v>24706.679987967353</v>
      </c>
      <c r="E20" s="23">
        <f t="shared" si="2"/>
        <v>53.167457139627643</v>
      </c>
      <c r="F20" s="23">
        <f t="shared" ca="1" si="2"/>
        <v>756.18404253376536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1956.21662136231</v>
      </c>
      <c r="C26" s="39">
        <f>IF(ISERROR(B26*3.6/1000000/'E Balans VL '!Z12*100),0,B26*3.6/1000000/'E Balans VL '!Z12*100)</f>
        <v>4.1165334655497619E-2</v>
      </c>
      <c r="D26" s="238" t="s">
        <v>720</v>
      </c>
      <c r="F26" s="6"/>
    </row>
    <row r="27" spans="1:18">
      <c r="A27" s="232" t="s">
        <v>53</v>
      </c>
      <c r="B27" s="33">
        <f>IF(ISERROR(TER_horeca_ele_kWh/1000),0,TER_horeca_ele_kWh/1000)</f>
        <v>906.648964241508</v>
      </c>
      <c r="C27" s="39">
        <f>IF(ISERROR(B27*3.6/1000000/'E Balans VL '!Z9*100),0,B27*3.6/1000000/'E Balans VL '!Z9*100)</f>
        <v>7.6763420142331895E-2</v>
      </c>
      <c r="D27" s="238" t="s">
        <v>720</v>
      </c>
      <c r="F27" s="6"/>
    </row>
    <row r="28" spans="1:18">
      <c r="A28" s="172" t="s">
        <v>52</v>
      </c>
      <c r="B28" s="33">
        <f>IF(ISERROR(TER_handel_ele_kWh/1000),0,TER_handel_ele_kWh/1000)</f>
        <v>5120.32115902437</v>
      </c>
      <c r="C28" s="39">
        <f>IF(ISERROR(B28*3.6/1000000/'E Balans VL '!Z13*100),0,B28*3.6/1000000/'E Balans VL '!Z13*100)</f>
        <v>0.14175538325446607</v>
      </c>
      <c r="D28" s="238" t="s">
        <v>720</v>
      </c>
      <c r="F28" s="6"/>
    </row>
    <row r="29" spans="1:18">
      <c r="A29" s="232" t="s">
        <v>51</v>
      </c>
      <c r="B29" s="33">
        <f>IF(ISERROR(TER_gezond_ele_kWh/1000),0,TER_gezond_ele_kWh/1000)</f>
        <v>468.548863590238</v>
      </c>
      <c r="C29" s="39">
        <f>IF(ISERROR(B29*3.6/1000000/'E Balans VL '!Z10*100),0,B29*3.6/1000000/'E Balans VL '!Z10*100)</f>
        <v>6.0906157796956267E-2</v>
      </c>
      <c r="D29" s="238" t="s">
        <v>720</v>
      </c>
      <c r="F29" s="6"/>
    </row>
    <row r="30" spans="1:18">
      <c r="A30" s="232" t="s">
        <v>50</v>
      </c>
      <c r="B30" s="33">
        <f>IF(ISERROR(TER_ander_ele_kWh/1000),0,TER_ander_ele_kWh/1000)</f>
        <v>1232.7400408711501</v>
      </c>
      <c r="C30" s="39">
        <f>IF(ISERROR(B30*3.6/1000000/'E Balans VL '!Z14*100),0,B30*3.6/1000000/'E Balans VL '!Z14*100)</f>
        <v>9.5548658257296248E-2</v>
      </c>
      <c r="D30" s="238" t="s">
        <v>720</v>
      </c>
      <c r="F30" s="6"/>
    </row>
    <row r="31" spans="1:18">
      <c r="A31" s="232" t="s">
        <v>55</v>
      </c>
      <c r="B31" s="33">
        <f>IF(ISERROR(TER_onderwijs_ele_kWh/1000),0,TER_onderwijs_ele_kWh/1000)</f>
        <v>564.27316808076102</v>
      </c>
      <c r="C31" s="39">
        <f>IF(ISERROR(B31*3.6/1000000/'E Balans VL '!Z11*100),0,B31*3.6/1000000/'E Balans VL '!Z11*100)</f>
        <v>0.10795507206515942</v>
      </c>
      <c r="D31" s="238" t="s">
        <v>720</v>
      </c>
    </row>
    <row r="32" spans="1:18">
      <c r="A32" s="232" t="s">
        <v>261</v>
      </c>
      <c r="B32" s="33">
        <f>IF(ISERROR(TER_rest_ele_kWh/1000),0,TER_rest_ele_kWh/1000)</f>
        <v>3738.0099826977003</v>
      </c>
      <c r="C32" s="39">
        <f>IF(ISERROR(B32*3.6/1000000/'E Balans VL '!Z8*100),0,B32*3.6/1000000/'E Balans VL '!Z8*100)</f>
        <v>3.0822762783383813E-2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9</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22311.476355019804</v>
      </c>
      <c r="C5" s="17">
        <f>IF(ISERROR('Eigen informatie GS &amp; warmtenet'!B59),0,'Eigen informatie GS &amp; warmtenet'!B59)</f>
        <v>0</v>
      </c>
      <c r="D5" s="30">
        <f>SUM(D6:D15)</f>
        <v>2722.1598299743337</v>
      </c>
      <c r="E5" s="17">
        <f>SUM(E6:E15)</f>
        <v>211.49112701674559</v>
      </c>
      <c r="F5" s="17">
        <f>SUM(F6:F15)</f>
        <v>5203.2166054104073</v>
      </c>
      <c r="G5" s="18"/>
      <c r="H5" s="17"/>
      <c r="I5" s="17"/>
      <c r="J5" s="17">
        <f>SUM(J6:J15)</f>
        <v>148.64437543726947</v>
      </c>
      <c r="K5" s="17"/>
      <c r="L5" s="17"/>
      <c r="M5" s="17"/>
      <c r="N5" s="17">
        <f>SUM(N6:N15)</f>
        <v>469.30847243903736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646.80579362850801</v>
      </c>
      <c r="C8" s="33"/>
      <c r="D8" s="37">
        <f>IF( ISERROR(IND_metaal_Gas_kWH/1000),0,IND_metaal_Gas_kWH/1000)*0.902</f>
        <v>0</v>
      </c>
      <c r="E8" s="33">
        <f>C30*'E Balans VL '!I18/100/3.6*1000000</f>
        <v>4.544961600602579</v>
      </c>
      <c r="F8" s="33">
        <f>C30*'E Balans VL '!L18/100/3.6*1000000+C30*'E Balans VL '!N18/100/3.6*1000000</f>
        <v>71.015491954045515</v>
      </c>
      <c r="G8" s="34"/>
      <c r="H8" s="33"/>
      <c r="I8" s="33"/>
      <c r="J8" s="40">
        <f>C30*'E Balans VL '!D18/100/3.6*1000000+C30*'E Balans VL '!E18/100/3.6*1000000</f>
        <v>13.344997642442053</v>
      </c>
      <c r="K8" s="33"/>
      <c r="L8" s="33"/>
      <c r="M8" s="33"/>
      <c r="N8" s="33">
        <f>C30*'E Balans VL '!Y18/100/3.6*1000000</f>
        <v>2.4242746974229394</v>
      </c>
      <c r="O8" s="33"/>
      <c r="P8" s="33"/>
      <c r="R8" s="32"/>
    </row>
    <row r="9" spans="1:18">
      <c r="A9" s="6" t="s">
        <v>33</v>
      </c>
      <c r="B9" s="37">
        <f t="shared" si="0"/>
        <v>1405.30437882553</v>
      </c>
      <c r="C9" s="33"/>
      <c r="D9" s="37">
        <f>IF( ISERROR(IND_andere_gas_kWh/1000),0,IND_andere_gas_kWh/1000)*0.902</f>
        <v>274.8302991033263</v>
      </c>
      <c r="E9" s="33">
        <f>C31*'E Balans VL '!I19/100/3.6*1000000</f>
        <v>23.603808595204963</v>
      </c>
      <c r="F9" s="33">
        <f>C31*'E Balans VL '!L19/100/3.6*1000000+C31*'E Balans VL '!N19/100/3.6*1000000</f>
        <v>1098.5869232047864</v>
      </c>
      <c r="G9" s="34"/>
      <c r="H9" s="33"/>
      <c r="I9" s="33"/>
      <c r="J9" s="40">
        <f>C31*'E Balans VL '!D19/100/3.6*1000000+C31*'E Balans VL '!E19/100/3.6*1000000</f>
        <v>0.12674604980738999</v>
      </c>
      <c r="K9" s="33"/>
      <c r="L9" s="33"/>
      <c r="M9" s="33"/>
      <c r="N9" s="33">
        <f>C31*'E Balans VL '!Y19/100/3.6*1000000</f>
        <v>104.15560059483089</v>
      </c>
      <c r="O9" s="33"/>
      <c r="P9" s="33"/>
      <c r="R9" s="32"/>
    </row>
    <row r="10" spans="1:18">
      <c r="A10" s="6" t="s">
        <v>41</v>
      </c>
      <c r="B10" s="37">
        <f t="shared" si="0"/>
        <v>381.27740667121395</v>
      </c>
      <c r="C10" s="33"/>
      <c r="D10" s="37">
        <f>IF( ISERROR(IND_voed_gas_kWh/1000),0,IND_voed_gas_kWh/1000)*0.902</f>
        <v>437.75355144529453</v>
      </c>
      <c r="E10" s="33">
        <f>C32*'E Balans VL '!I20/100/3.6*1000000</f>
        <v>3.4786166186494318</v>
      </c>
      <c r="F10" s="33">
        <f>C32*'E Balans VL '!L20/100/3.6*1000000+C32*'E Balans VL '!N20/100/3.6*1000000</f>
        <v>61.511971355433616</v>
      </c>
      <c r="G10" s="34"/>
      <c r="H10" s="33"/>
      <c r="I10" s="33"/>
      <c r="J10" s="40">
        <f>C32*'E Balans VL '!D20/100/3.6*1000000+C32*'E Balans VL '!E20/100/3.6*1000000</f>
        <v>1.570350338240057</v>
      </c>
      <c r="K10" s="33"/>
      <c r="L10" s="33"/>
      <c r="M10" s="33"/>
      <c r="N10" s="33">
        <f>C32*'E Balans VL '!Y20/100/3.6*1000000</f>
        <v>5.5777878139267578</v>
      </c>
      <c r="O10" s="33"/>
      <c r="P10" s="33"/>
      <c r="R10" s="32"/>
    </row>
    <row r="11" spans="1:18">
      <c r="A11" s="6" t="s">
        <v>40</v>
      </c>
      <c r="B11" s="37">
        <f t="shared" si="0"/>
        <v>11.1933260756704</v>
      </c>
      <c r="C11" s="33"/>
      <c r="D11" s="37">
        <f>IF( ISERROR(IND_textiel_gas_kWh/1000),0,IND_textiel_gas_kWh/1000)*0.902</f>
        <v>0</v>
      </c>
      <c r="E11" s="33">
        <f>C33*'E Balans VL '!I21/100/3.6*1000000</f>
        <v>2.552990050538869E-2</v>
      </c>
      <c r="F11" s="33">
        <f>C33*'E Balans VL '!L21/100/3.6*1000000+C33*'E Balans VL '!N21/100/3.6*1000000</f>
        <v>0.23926772663061868</v>
      </c>
      <c r="G11" s="34"/>
      <c r="H11" s="33"/>
      <c r="I11" s="33"/>
      <c r="J11" s="40">
        <f>C33*'E Balans VL '!D21/100/3.6*1000000+C33*'E Balans VL '!E21/100/3.6*1000000</f>
        <v>0</v>
      </c>
      <c r="K11" s="33"/>
      <c r="L11" s="33"/>
      <c r="M11" s="33"/>
      <c r="N11" s="33">
        <f>C33*'E Balans VL '!Y21/100/3.6*1000000</f>
        <v>7.9403945094268596E-2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25.028132604085897</v>
      </c>
      <c r="C13" s="33"/>
      <c r="D13" s="37">
        <f>IF( ISERROR(IND_papier_gas_kWh/1000),0,IND_papier_gas_kWh/1000)*0.902</f>
        <v>0</v>
      </c>
      <c r="E13" s="33">
        <f>C35*'E Balans VL '!I23/100/3.6*1000000</f>
        <v>0.77005032261897621</v>
      </c>
      <c r="F13" s="33">
        <f>C35*'E Balans VL '!L23/100/3.6*1000000+C35*'E Balans VL '!N23/100/3.6*1000000</f>
        <v>5.3143472334036748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19841.867317214797</v>
      </c>
      <c r="C15" s="33"/>
      <c r="D15" s="37">
        <f>IF( ISERROR(IND_rest_gas_kWh/1000),0,IND_rest_gas_kWh/1000)*0.902</f>
        <v>2009.5759794257126</v>
      </c>
      <c r="E15" s="33">
        <f>C37*'E Balans VL '!I15/100/3.6*1000000</f>
        <v>179.06815997916425</v>
      </c>
      <c r="F15" s="33">
        <f>C37*'E Balans VL '!L15/100/3.6*1000000+C37*'E Balans VL '!N15/100/3.6*1000000</f>
        <v>3966.5486039361076</v>
      </c>
      <c r="G15" s="34"/>
      <c r="H15" s="33"/>
      <c r="I15" s="33"/>
      <c r="J15" s="40">
        <f>C37*'E Balans VL '!D15/100/3.6*1000000+C37*'E Balans VL '!E15/100/3.6*1000000</f>
        <v>133.60228140677998</v>
      </c>
      <c r="K15" s="33"/>
      <c r="L15" s="33"/>
      <c r="M15" s="33"/>
      <c r="N15" s="33">
        <f>C37*'E Balans VL '!Y15/100/3.6*1000000</f>
        <v>357.07140538776252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22311.476355019804</v>
      </c>
      <c r="C18" s="21">
        <f>C5+C16</f>
        <v>0</v>
      </c>
      <c r="D18" s="21">
        <f>MAX((D5+D16),0)</f>
        <v>2722.1598299743337</v>
      </c>
      <c r="E18" s="21">
        <f>MAX((E5+E16),0)</f>
        <v>211.49112701674559</v>
      </c>
      <c r="F18" s="21">
        <f>MAX((F5+F16),0)</f>
        <v>5203.2166054104073</v>
      </c>
      <c r="G18" s="21"/>
      <c r="H18" s="21"/>
      <c r="I18" s="21"/>
      <c r="J18" s="21">
        <f>MAX((J5+J16),0)</f>
        <v>148.64437543726947</v>
      </c>
      <c r="K18" s="21"/>
      <c r="L18" s="21">
        <f>MAX((L5+L16),0)</f>
        <v>0</v>
      </c>
      <c r="M18" s="21"/>
      <c r="N18" s="21">
        <f>MAX((N5+N16),0)</f>
        <v>469.30847243903736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0.21539199259339231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4805.713349808073</v>
      </c>
      <c r="C22" s="23">
        <f ca="1">C18*C20</f>
        <v>0</v>
      </c>
      <c r="D22" s="23">
        <f>D18*D20</f>
        <v>549.87628565481543</v>
      </c>
      <c r="E22" s="23">
        <f>E18*E20</f>
        <v>48.008485832801249</v>
      </c>
      <c r="F22" s="23">
        <f>F18*F20</f>
        <v>1389.2588336445788</v>
      </c>
      <c r="G22" s="23"/>
      <c r="H22" s="23"/>
      <c r="I22" s="23"/>
      <c r="J22" s="23">
        <f>J18*J20</f>
        <v>52.620108904793391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646.80579362850801</v>
      </c>
      <c r="C30" s="39">
        <f>IF(ISERROR(B30*3.6/1000000/'E Balans VL '!Z18*100),0,B30*3.6/1000000/'E Balans VL '!Z18*100)</f>
        <v>4.3058256654565377E-2</v>
      </c>
      <c r="D30" s="238" t="s">
        <v>720</v>
      </c>
    </row>
    <row r="31" spans="1:18">
      <c r="A31" s="6" t="s">
        <v>33</v>
      </c>
      <c r="B31" s="37">
        <f>IF( ISERROR(IND_ander_ele_kWh/1000),0,IND_ander_ele_kWh/1000)</f>
        <v>1405.30437882553</v>
      </c>
      <c r="C31" s="39">
        <f>IF(ISERROR(B31*3.6/1000000/'E Balans VL '!Z19*100),0,B31*3.6/1000000/'E Balans VL '!Z19*100)</f>
        <v>6.2291573966771874E-2</v>
      </c>
      <c r="D31" s="238" t="s">
        <v>720</v>
      </c>
    </row>
    <row r="32" spans="1:18">
      <c r="A32" s="172" t="s">
        <v>41</v>
      </c>
      <c r="B32" s="37">
        <f>IF( ISERROR(IND_voed_ele_kWh/1000),0,IND_voed_ele_kWh/1000)</f>
        <v>381.27740667121395</v>
      </c>
      <c r="C32" s="39">
        <f>IF(ISERROR(B32*3.6/1000000/'E Balans VL '!Z20*100),0,B32*3.6/1000000/'E Balans VL '!Z20*100)</f>
        <v>1.2735759126140236E-2</v>
      </c>
      <c r="D32" s="238" t="s">
        <v>720</v>
      </c>
    </row>
    <row r="33" spans="1:5">
      <c r="A33" s="172" t="s">
        <v>40</v>
      </c>
      <c r="B33" s="37">
        <f>IF( ISERROR(IND_textiel_ele_kWh/1000),0,IND_textiel_ele_kWh/1000)</f>
        <v>11.1933260756704</v>
      </c>
      <c r="C33" s="39">
        <f>IF(ISERROR(B33*3.6/1000000/'E Balans VL '!Z21*100),0,B33*3.6/1000000/'E Balans VL '!Z21*100)</f>
        <v>1.4736271901194299E-3</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25.028132604085897</v>
      </c>
      <c r="C35" s="39">
        <f>IF(ISERROR(B35*3.6/1000000/'E Balans VL '!Z22*100),0,B35*3.6/1000000/'E Balans VL '!Z22*100)</f>
        <v>4.8676968730853587E-3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19841.867317214797</v>
      </c>
      <c r="C37" s="39">
        <f>IF(ISERROR(B37*3.6/1000000/'E Balans VL '!Z15*100),0,B37*3.6/1000000/'E Balans VL '!Z15*100)</f>
        <v>0.147591167673148</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115.77760668970801</v>
      </c>
      <c r="C5" s="17">
        <f>'Eigen informatie GS &amp; warmtenet'!B60</f>
        <v>0</v>
      </c>
      <c r="D5" s="30">
        <f>IF(ISERROR(SUM(LB_lb_gas_kWh,LB_rest_gas_kWh,onbekend_gas_kWh)/1000),0,SUM(LB_lb_gas_kWh,LB_rest_gas_kWh,onbekend_gas_kWh)/1000)*0.902</f>
        <v>2297.9552303415712</v>
      </c>
      <c r="E5" s="17">
        <f>B17*'E Balans VL '!I25/3.6*1000000/100</f>
        <v>1.2124481620843326</v>
      </c>
      <c r="F5" s="17">
        <f>B17*('E Balans VL '!L25/3.6*1000000+'E Balans VL '!N25/3.6*1000000)/100</f>
        <v>594.65222256295874</v>
      </c>
      <c r="G5" s="18"/>
      <c r="H5" s="17"/>
      <c r="I5" s="17"/>
      <c r="J5" s="17">
        <f>('E Balans VL '!D25+'E Balans VL '!E25)/3.6*1000000*landbouw!B17/100</f>
        <v>10.339978009783046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115.77760668970801</v>
      </c>
      <c r="C8" s="21">
        <f>C5+C6</f>
        <v>0</v>
      </c>
      <c r="D8" s="21">
        <f>MAX((D5+D6),0)</f>
        <v>2297.9552303415712</v>
      </c>
      <c r="E8" s="21">
        <f>MAX((E5+E6),0)</f>
        <v>1.2124481620843326</v>
      </c>
      <c r="F8" s="21">
        <f>MAX((F5+F6),0)</f>
        <v>594.65222256295874</v>
      </c>
      <c r="G8" s="21"/>
      <c r="H8" s="21"/>
      <c r="I8" s="21"/>
      <c r="J8" s="21">
        <f>MAX((J5+J6),0)</f>
        <v>10.339978009783046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0.21539199259339231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24.937569402590274</v>
      </c>
      <c r="C12" s="23">
        <f ca="1">C8*C10</f>
        <v>0</v>
      </c>
      <c r="D12" s="23">
        <f>D8*D10</f>
        <v>464.18695652899743</v>
      </c>
      <c r="E12" s="23">
        <f>E8*E10</f>
        <v>0.2752257327931435</v>
      </c>
      <c r="F12" s="23">
        <f>F8*F10</f>
        <v>158.77214342431</v>
      </c>
      <c r="G12" s="23"/>
      <c r="H12" s="23"/>
      <c r="I12" s="23"/>
      <c r="J12" s="23">
        <f>J8*J10</f>
        <v>3.660352215463198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1.7820408590365048E-2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36.104654166213088</v>
      </c>
      <c r="C26" s="248">
        <f>B26*'GWP N2O_CH4'!B5</f>
        <v>758.19773749047488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5.8598285305430124</v>
      </c>
      <c r="C27" s="248">
        <f>B27*'GWP N2O_CH4'!B5</f>
        <v>123.05639914140326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0.46757285390062819</v>
      </c>
      <c r="C28" s="248">
        <f>B28*'GWP N2O_CH4'!B4</f>
        <v>144.94758470919473</v>
      </c>
      <c r="D28" s="50"/>
    </row>
    <row r="29" spans="1:4">
      <c r="A29" s="41" t="s">
        <v>278</v>
      </c>
      <c r="B29" s="248">
        <f>B34*'ha_N2O bodem landbouw'!B4</f>
        <v>3.535845509762872</v>
      </c>
      <c r="C29" s="248">
        <f>B29*'GWP N2O_CH4'!B4</f>
        <v>1096.1121080264904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5.8434490921094112E-4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1.6266160770243122E-6</v>
      </c>
      <c r="C5" s="446" t="s">
        <v>212</v>
      </c>
      <c r="D5" s="431">
        <f>SUM(D6:D11)</f>
        <v>9.6167718885925593E-6</v>
      </c>
      <c r="E5" s="431">
        <f>SUM(E6:E11)</f>
        <v>9.6757433696011304E-4</v>
      </c>
      <c r="F5" s="444" t="s">
        <v>212</v>
      </c>
      <c r="G5" s="431">
        <f>SUM(G6:G11)</f>
        <v>0.14076138765025897</v>
      </c>
      <c r="H5" s="431">
        <f>SUM(H6:H11)</f>
        <v>3.1659151251649496E-2</v>
      </c>
      <c r="I5" s="446" t="s">
        <v>212</v>
      </c>
      <c r="J5" s="446" t="s">
        <v>212</v>
      </c>
      <c r="K5" s="446" t="s">
        <v>212</v>
      </c>
      <c r="L5" s="446" t="s">
        <v>212</v>
      </c>
      <c r="M5" s="431">
        <f>SUM(M6:M11)</f>
        <v>7.5431149723084786E-3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7.0508700014372804E-7</v>
      </c>
      <c r="C6" s="432"/>
      <c r="D6" s="432">
        <f>vkm_2011_GW_PW*SUMIFS(TableVerdeelsleutelVkm[CNG],TableVerdeelsleutelVkm[Voertuigtype],"Lichte voertuigen")*SUMIFS(TableECFTransport[EnergieConsumptieFactor (PJ per km)],TableECFTransport[Index],CONCATENATE($A6,"_CNG_CNG"))</f>
        <v>3.0395480983972064E-6</v>
      </c>
      <c r="E6" s="434">
        <f>vkm_2011_GW_PW*SUMIFS(TableVerdeelsleutelVkm[LPG],TableVerdeelsleutelVkm[Voertuigtype],"Lichte voertuigen")*SUMIFS(TableECFTransport[EnergieConsumptieFactor (PJ per km)],TableECFTransport[Index],CONCATENATE($A6,"_LPG_LPG"))</f>
        <v>3.1624632936253172E-4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3.8899166695962349E-2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1.0241344482834662E-2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2.1535727884937428E-3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1.3142152286819222E-2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4.5062618998396692E-6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5.6771635466729088E-4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7.5328538787618156E-7</v>
      </c>
      <c r="C8" s="432"/>
      <c r="D8" s="434">
        <f>vkm_2011_NGW_PW*SUMIFS(TableVerdeelsleutelVkm[CNG],TableVerdeelsleutelVkm[Voertuigtype],"Lichte voertuigen")*SUMIFS(TableECFTransport[EnergieConsumptieFactor (PJ per km)],TableECFTransport[Index],CONCATENATE($A8,"_CNG_CNG"))</f>
        <v>5.8257814822452446E-6</v>
      </c>
      <c r="E8" s="434">
        <f>vkm_2011_NGW_PW*SUMIFS(TableVerdeelsleutelVkm[LPG],TableVerdeelsleutelVkm[Voertuigtype],"Lichte voertuigen")*SUMIFS(TableECFTransport[EnergieConsumptieFactor (PJ per km)],TableECFTransport[Index],CONCATENATE($A8,"_LPG_LPG"))</f>
        <v>5.5344787079734123E-4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6.456816363915456E-2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1.8737390575952521E-2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3.6550901789402434E-3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6.6684735311213416E-3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1.9863630769266693E-6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2.8805167481361921E-4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1.6824368900440266E-7</v>
      </c>
      <c r="C10" s="432"/>
      <c r="D10" s="434">
        <f>vkm_2011_SW_PW*SUMIFS(TableVerdeelsleutelVkm[CNG],TableVerdeelsleutelVkm[Voertuigtype],"Lichte voertuigen")*SUMIFS(TableECFTransport[EnergieConsumptieFactor (PJ per km)],TableECFTransport[Index],CONCATENATE($A10,"_CNG_CNG"))</f>
        <v>7.5144230795010729E-7</v>
      </c>
      <c r="E10" s="434">
        <f>vkm_2011_SW_PW*SUMIFS(TableVerdeelsleutelVkm[LPG],TableVerdeelsleutelVkm[Voertuigtype],"Lichte voertuigen")*SUMIFS(TableECFTransport[EnergieConsumptieFactor (PJ per km)],TableECFTransport[Index],CONCATENATE($A10,"_LPG_LPG"))</f>
        <v>9.7880136800240127E-5</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1.1068422944560572E-2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2.6715766653194468E-3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6.015608113767632E-4</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6.4150085526409302E-3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2.3469025661014124E-6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2.7712316401681797E-4</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0.45183779917342004</v>
      </c>
      <c r="C14" s="21"/>
      <c r="D14" s="21">
        <f t="shared" ref="D14:M14" si="0">((D5)*10^9/3600)+D12</f>
        <v>2.6713255246090442</v>
      </c>
      <c r="E14" s="21">
        <f t="shared" si="0"/>
        <v>268.77064915558697</v>
      </c>
      <c r="F14" s="21"/>
      <c r="G14" s="21">
        <f t="shared" si="0"/>
        <v>39100.385458405275</v>
      </c>
      <c r="H14" s="21">
        <f t="shared" si="0"/>
        <v>8794.208681013748</v>
      </c>
      <c r="I14" s="21"/>
      <c r="J14" s="21"/>
      <c r="K14" s="21"/>
      <c r="L14" s="21"/>
      <c r="M14" s="21">
        <f t="shared" si="0"/>
        <v>2095.3097145301331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0.21539199259339231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9.7322243892975974E-2</v>
      </c>
      <c r="C18" s="23"/>
      <c r="D18" s="23">
        <f t="shared" ref="D18:M18" si="1">D14*D16</f>
        <v>0.53960775597102695</v>
      </c>
      <c r="E18" s="23">
        <f t="shared" si="1"/>
        <v>61.010937358318245</v>
      </c>
      <c r="F18" s="23"/>
      <c r="G18" s="23">
        <f t="shared" si="1"/>
        <v>10439.802917394209</v>
      </c>
      <c r="H18" s="23">
        <f t="shared" si="1"/>
        <v>2189.757961572423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3.5681261745411016E-3</v>
      </c>
      <c r="H50" s="322">
        <f t="shared" si="2"/>
        <v>0</v>
      </c>
      <c r="I50" s="322">
        <f t="shared" si="2"/>
        <v>0</v>
      </c>
      <c r="J50" s="322">
        <f t="shared" si="2"/>
        <v>0</v>
      </c>
      <c r="K50" s="322">
        <f t="shared" si="2"/>
        <v>0</v>
      </c>
      <c r="L50" s="322">
        <f t="shared" si="2"/>
        <v>0</v>
      </c>
      <c r="M50" s="322">
        <f t="shared" si="2"/>
        <v>1.5209371718013449E-4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3.5681261745411016E-3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1.5209371718013449E-4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991.14615959475054</v>
      </c>
      <c r="H54" s="21">
        <f t="shared" si="3"/>
        <v>0</v>
      </c>
      <c r="I54" s="21">
        <f t="shared" si="3"/>
        <v>0</v>
      </c>
      <c r="J54" s="21">
        <f t="shared" si="3"/>
        <v>0</v>
      </c>
      <c r="K54" s="21">
        <f t="shared" si="3"/>
        <v>0</v>
      </c>
      <c r="L54" s="21">
        <f t="shared" si="3"/>
        <v>0</v>
      </c>
      <c r="M54" s="21">
        <f t="shared" si="3"/>
        <v>42.248254772259585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0.21539199259339231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264.6360246117984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1839.0729463133785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1839.0729463133785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15194.77079986804</v>
      </c>
      <c r="D10" s="702">
        <f ca="1">tertiair!C16</f>
        <v>0</v>
      </c>
      <c r="E10" s="702">
        <f ca="1">tertiair!D16</f>
        <v>122310.2969701354</v>
      </c>
      <c r="F10" s="702">
        <f>tertiair!E16</f>
        <v>234.21787286179577</v>
      </c>
      <c r="G10" s="702">
        <f ca="1">tertiair!F16</f>
        <v>2832.1499720365741</v>
      </c>
      <c r="H10" s="702">
        <f>tertiair!G16</f>
        <v>0</v>
      </c>
      <c r="I10" s="702">
        <f>tertiair!H16</f>
        <v>0</v>
      </c>
      <c r="J10" s="702">
        <f>tertiair!I16</f>
        <v>0</v>
      </c>
      <c r="K10" s="702">
        <f>tertiair!J16</f>
        <v>0</v>
      </c>
      <c r="L10" s="702">
        <f>tertiair!K16</f>
        <v>0</v>
      </c>
      <c r="M10" s="702">
        <f ca="1">tertiair!L16</f>
        <v>0</v>
      </c>
      <c r="N10" s="702">
        <f>tertiair!M16</f>
        <v>0</v>
      </c>
      <c r="O10" s="702">
        <f ca="1">tertiair!N16</f>
        <v>413.36833793672054</v>
      </c>
      <c r="P10" s="702">
        <f>tertiair!O16</f>
        <v>1.5633333333333335</v>
      </c>
      <c r="Q10" s="703">
        <f>tertiair!P16</f>
        <v>171.6</v>
      </c>
      <c r="R10" s="705">
        <f ca="1">SUM(C10:Q10)</f>
        <v>141157.96728617186</v>
      </c>
      <c r="S10" s="67"/>
    </row>
    <row r="11" spans="1:19" s="457" customFormat="1">
      <c r="A11" s="858" t="s">
        <v>226</v>
      </c>
      <c r="B11" s="863"/>
      <c r="C11" s="702">
        <f>huishoudens!B8</f>
        <v>34851.593362864827</v>
      </c>
      <c r="D11" s="702">
        <f>huishoudens!C8</f>
        <v>0</v>
      </c>
      <c r="E11" s="702">
        <f>huishoudens!D8</f>
        <v>67648.540478161536</v>
      </c>
      <c r="F11" s="702">
        <f>huishoudens!E8</f>
        <v>5595.3611906094648</v>
      </c>
      <c r="G11" s="702">
        <f>huishoudens!F8</f>
        <v>27759.283674738082</v>
      </c>
      <c r="H11" s="702">
        <f>huishoudens!G8</f>
        <v>0</v>
      </c>
      <c r="I11" s="702">
        <f>huishoudens!H8</f>
        <v>0</v>
      </c>
      <c r="J11" s="702">
        <f>huishoudens!I8</f>
        <v>0</v>
      </c>
      <c r="K11" s="702">
        <f>huishoudens!J8</f>
        <v>849.10703138311862</v>
      </c>
      <c r="L11" s="702">
        <f>huishoudens!K8</f>
        <v>0</v>
      </c>
      <c r="M11" s="702">
        <f>huishoudens!L8</f>
        <v>0</v>
      </c>
      <c r="N11" s="702">
        <f>huishoudens!M8</f>
        <v>0</v>
      </c>
      <c r="O11" s="702">
        <f>huishoudens!N8</f>
        <v>5781.8922744093425</v>
      </c>
      <c r="P11" s="702">
        <f>huishoudens!O8</f>
        <v>59.406666666666666</v>
      </c>
      <c r="Q11" s="703">
        <f>huishoudens!P8</f>
        <v>190.66666666666669</v>
      </c>
      <c r="R11" s="705">
        <f>SUM(C11:Q11)</f>
        <v>142735.85134549969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22311.476355019804</v>
      </c>
      <c r="D13" s="702">
        <f>industrie!C18</f>
        <v>0</v>
      </c>
      <c r="E13" s="702">
        <f>industrie!D18</f>
        <v>2722.1598299743337</v>
      </c>
      <c r="F13" s="702">
        <f>industrie!E18</f>
        <v>211.49112701674559</v>
      </c>
      <c r="G13" s="702">
        <f>industrie!F18</f>
        <v>5203.2166054104073</v>
      </c>
      <c r="H13" s="702">
        <f>industrie!G18</f>
        <v>0</v>
      </c>
      <c r="I13" s="702">
        <f>industrie!H18</f>
        <v>0</v>
      </c>
      <c r="J13" s="702">
        <f>industrie!I18</f>
        <v>0</v>
      </c>
      <c r="K13" s="702">
        <f>industrie!J18</f>
        <v>148.64437543726947</v>
      </c>
      <c r="L13" s="702">
        <f>industrie!K18</f>
        <v>0</v>
      </c>
      <c r="M13" s="702">
        <f>industrie!L18</f>
        <v>0</v>
      </c>
      <c r="N13" s="702">
        <f>industrie!M18</f>
        <v>0</v>
      </c>
      <c r="O13" s="702">
        <f>industrie!N18</f>
        <v>469.30847243903736</v>
      </c>
      <c r="P13" s="702">
        <f>industrie!O18</f>
        <v>0</v>
      </c>
      <c r="Q13" s="703">
        <f>industrie!P18</f>
        <v>0</v>
      </c>
      <c r="R13" s="705">
        <f>SUM(C13:Q13)</f>
        <v>31066.2967652976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72357.840517752673</v>
      </c>
      <c r="D15" s="707">
        <f t="shared" ref="D15:Q15" ca="1" si="0">SUM(D9:D14)</f>
        <v>0</v>
      </c>
      <c r="E15" s="707">
        <f t="shared" ca="1" si="0"/>
        <v>192680.99727827127</v>
      </c>
      <c r="F15" s="707">
        <f t="shared" si="0"/>
        <v>6041.0701904880061</v>
      </c>
      <c r="G15" s="707">
        <f t="shared" ca="1" si="0"/>
        <v>35794.650252185063</v>
      </c>
      <c r="H15" s="707">
        <f t="shared" si="0"/>
        <v>0</v>
      </c>
      <c r="I15" s="707">
        <f t="shared" si="0"/>
        <v>0</v>
      </c>
      <c r="J15" s="707">
        <f t="shared" si="0"/>
        <v>0</v>
      </c>
      <c r="K15" s="707">
        <f t="shared" si="0"/>
        <v>997.75140682038807</v>
      </c>
      <c r="L15" s="707">
        <f t="shared" si="0"/>
        <v>0</v>
      </c>
      <c r="M15" s="707">
        <f t="shared" ca="1" si="0"/>
        <v>0</v>
      </c>
      <c r="N15" s="707">
        <f t="shared" si="0"/>
        <v>0</v>
      </c>
      <c r="O15" s="707">
        <f t="shared" ca="1" si="0"/>
        <v>6664.5690847851001</v>
      </c>
      <c r="P15" s="707">
        <f t="shared" si="0"/>
        <v>60.97</v>
      </c>
      <c r="Q15" s="708">
        <f t="shared" si="0"/>
        <v>362.26666666666665</v>
      </c>
      <c r="R15" s="709">
        <f ca="1">SUM(R9:R14)</f>
        <v>314960.11539696914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991.14615959475054</v>
      </c>
      <c r="I18" s="702">
        <f>transport!H54</f>
        <v>0</v>
      </c>
      <c r="J18" s="702">
        <f>transport!I54</f>
        <v>0</v>
      </c>
      <c r="K18" s="702">
        <f>transport!J54</f>
        <v>0</v>
      </c>
      <c r="L18" s="702">
        <f>transport!K54</f>
        <v>0</v>
      </c>
      <c r="M18" s="702">
        <f>transport!L54</f>
        <v>0</v>
      </c>
      <c r="N18" s="702">
        <f>transport!M54</f>
        <v>42.248254772259585</v>
      </c>
      <c r="O18" s="702">
        <f>transport!N54</f>
        <v>0</v>
      </c>
      <c r="P18" s="702">
        <f>transport!O54</f>
        <v>0</v>
      </c>
      <c r="Q18" s="703">
        <f>transport!P54</f>
        <v>0</v>
      </c>
      <c r="R18" s="705">
        <f>SUM(C18:Q18)</f>
        <v>1033.3944143670101</v>
      </c>
      <c r="S18" s="67"/>
    </row>
    <row r="19" spans="1:19" s="457" customFormat="1" ht="15" thickBot="1">
      <c r="A19" s="858" t="s">
        <v>308</v>
      </c>
      <c r="B19" s="863"/>
      <c r="C19" s="711">
        <f>transport!B14</f>
        <v>0.45183779917342004</v>
      </c>
      <c r="D19" s="711">
        <f>transport!C14</f>
        <v>0</v>
      </c>
      <c r="E19" s="711">
        <f>transport!D14</f>
        <v>2.6713255246090442</v>
      </c>
      <c r="F19" s="711">
        <f>transport!E14</f>
        <v>268.77064915558697</v>
      </c>
      <c r="G19" s="711">
        <f>transport!F14</f>
        <v>0</v>
      </c>
      <c r="H19" s="711">
        <f>transport!G14</f>
        <v>39100.385458405275</v>
      </c>
      <c r="I19" s="711">
        <f>transport!H14</f>
        <v>8794.208681013748</v>
      </c>
      <c r="J19" s="711">
        <f>transport!I14</f>
        <v>0</v>
      </c>
      <c r="K19" s="711">
        <f>transport!J14</f>
        <v>0</v>
      </c>
      <c r="L19" s="711">
        <f>transport!K14</f>
        <v>0</v>
      </c>
      <c r="M19" s="711">
        <f>transport!L14</f>
        <v>0</v>
      </c>
      <c r="N19" s="711">
        <f>transport!M14</f>
        <v>2095.3097145301331</v>
      </c>
      <c r="O19" s="711">
        <f>transport!N14</f>
        <v>0</v>
      </c>
      <c r="P19" s="711">
        <f>transport!O14</f>
        <v>0</v>
      </c>
      <c r="Q19" s="712">
        <f>transport!P14</f>
        <v>0</v>
      </c>
      <c r="R19" s="713">
        <f>SUM(C19:Q19)</f>
        <v>50261.797666428531</v>
      </c>
      <c r="S19" s="67"/>
    </row>
    <row r="20" spans="1:19" s="457" customFormat="1" ht="15.75" thickBot="1">
      <c r="A20" s="714" t="s">
        <v>231</v>
      </c>
      <c r="B20" s="866"/>
      <c r="C20" s="861">
        <f>SUM(C17:C19)</f>
        <v>0.45183779917342004</v>
      </c>
      <c r="D20" s="715">
        <f t="shared" ref="D20:R20" si="1">SUM(D17:D19)</f>
        <v>0</v>
      </c>
      <c r="E20" s="715">
        <f t="shared" si="1"/>
        <v>2.6713255246090442</v>
      </c>
      <c r="F20" s="715">
        <f t="shared" si="1"/>
        <v>268.77064915558697</v>
      </c>
      <c r="G20" s="715">
        <f t="shared" si="1"/>
        <v>0</v>
      </c>
      <c r="H20" s="715">
        <f t="shared" si="1"/>
        <v>40091.531618000023</v>
      </c>
      <c r="I20" s="715">
        <f t="shared" si="1"/>
        <v>8794.208681013748</v>
      </c>
      <c r="J20" s="715">
        <f t="shared" si="1"/>
        <v>0</v>
      </c>
      <c r="K20" s="715">
        <f t="shared" si="1"/>
        <v>0</v>
      </c>
      <c r="L20" s="715">
        <f t="shared" si="1"/>
        <v>0</v>
      </c>
      <c r="M20" s="715">
        <f t="shared" si="1"/>
        <v>0</v>
      </c>
      <c r="N20" s="715">
        <f t="shared" si="1"/>
        <v>2137.5579693023928</v>
      </c>
      <c r="O20" s="715">
        <f t="shared" si="1"/>
        <v>0</v>
      </c>
      <c r="P20" s="715">
        <f t="shared" si="1"/>
        <v>0</v>
      </c>
      <c r="Q20" s="716">
        <f t="shared" si="1"/>
        <v>0</v>
      </c>
      <c r="R20" s="717">
        <f t="shared" si="1"/>
        <v>51295.192080795539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115.77760668970801</v>
      </c>
      <c r="D22" s="711">
        <f>+landbouw!C8</f>
        <v>0</v>
      </c>
      <c r="E22" s="711">
        <f>+landbouw!D8</f>
        <v>2297.9552303415712</v>
      </c>
      <c r="F22" s="711">
        <f>+landbouw!E8</f>
        <v>1.2124481620843326</v>
      </c>
      <c r="G22" s="711">
        <f>+landbouw!F8</f>
        <v>594.65222256295874</v>
      </c>
      <c r="H22" s="711">
        <f>+landbouw!G8</f>
        <v>0</v>
      </c>
      <c r="I22" s="711">
        <f>+landbouw!H8</f>
        <v>0</v>
      </c>
      <c r="J22" s="711">
        <f>+landbouw!I8</f>
        <v>0</v>
      </c>
      <c r="K22" s="711">
        <f>+landbouw!J8</f>
        <v>10.339978009783046</v>
      </c>
      <c r="L22" s="711">
        <f>+landbouw!K8</f>
        <v>0</v>
      </c>
      <c r="M22" s="711">
        <f>+landbouw!L8</f>
        <v>0</v>
      </c>
      <c r="N22" s="711">
        <f>+landbouw!M8</f>
        <v>0</v>
      </c>
      <c r="O22" s="711">
        <f>+landbouw!N8</f>
        <v>0</v>
      </c>
      <c r="P22" s="711">
        <f>+landbouw!O8</f>
        <v>0</v>
      </c>
      <c r="Q22" s="712">
        <f>+landbouw!P8</f>
        <v>0</v>
      </c>
      <c r="R22" s="713">
        <f>SUM(C22:Q22)</f>
        <v>3019.9374857661055</v>
      </c>
      <c r="S22" s="67"/>
    </row>
    <row r="23" spans="1:19" s="457" customFormat="1" ht="17.25" thickTop="1" thickBot="1">
      <c r="A23" s="718" t="s">
        <v>116</v>
      </c>
      <c r="B23" s="852"/>
      <c r="C23" s="719">
        <f ca="1">C20+C15+C22</f>
        <v>72474.069962241556</v>
      </c>
      <c r="D23" s="719">
        <f t="shared" ref="D23:Q23" ca="1" si="2">D20+D15+D22</f>
        <v>0</v>
      </c>
      <c r="E23" s="719">
        <f t="shared" ca="1" si="2"/>
        <v>194981.62383413746</v>
      </c>
      <c r="F23" s="719">
        <f t="shared" si="2"/>
        <v>6311.0532878056774</v>
      </c>
      <c r="G23" s="719">
        <f t="shared" ca="1" si="2"/>
        <v>36389.302474748023</v>
      </c>
      <c r="H23" s="719">
        <f t="shared" si="2"/>
        <v>40091.531618000023</v>
      </c>
      <c r="I23" s="719">
        <f t="shared" si="2"/>
        <v>8794.208681013748</v>
      </c>
      <c r="J23" s="719">
        <f t="shared" si="2"/>
        <v>0</v>
      </c>
      <c r="K23" s="719">
        <f t="shared" si="2"/>
        <v>1008.0913848301711</v>
      </c>
      <c r="L23" s="719">
        <f t="shared" si="2"/>
        <v>0</v>
      </c>
      <c r="M23" s="719">
        <f t="shared" ca="1" si="2"/>
        <v>0</v>
      </c>
      <c r="N23" s="719">
        <f t="shared" si="2"/>
        <v>2137.5579693023928</v>
      </c>
      <c r="O23" s="719">
        <f t="shared" ca="1" si="2"/>
        <v>6664.5690847851001</v>
      </c>
      <c r="P23" s="719">
        <f t="shared" si="2"/>
        <v>60.97</v>
      </c>
      <c r="Q23" s="720">
        <f t="shared" si="2"/>
        <v>362.26666666666665</v>
      </c>
      <c r="R23" s="721">
        <f ca="1">R20+R15+R22</f>
        <v>369275.2449635308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3272.8319595834705</v>
      </c>
      <c r="D36" s="702">
        <f ca="1">tertiair!C20</f>
        <v>0</v>
      </c>
      <c r="E36" s="702">
        <f ca="1">tertiair!D20</f>
        <v>24706.679987967353</v>
      </c>
      <c r="F36" s="702">
        <f>tertiair!E20</f>
        <v>53.167457139627643</v>
      </c>
      <c r="G36" s="702">
        <f ca="1">tertiair!F20</f>
        <v>756.18404253376536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28788.863447224216</v>
      </c>
    </row>
    <row r="37" spans="1:18">
      <c r="A37" s="873" t="s">
        <v>226</v>
      </c>
      <c r="B37" s="880"/>
      <c r="C37" s="702">
        <f ca="1">huishoudens!B12</f>
        <v>7506.7541394821019</v>
      </c>
      <c r="D37" s="702">
        <f ca="1">huishoudens!C12</f>
        <v>0</v>
      </c>
      <c r="E37" s="702">
        <f>huishoudens!D12</f>
        <v>13665.005176588631</v>
      </c>
      <c r="F37" s="702">
        <f>huishoudens!E12</f>
        <v>1270.1469902683486</v>
      </c>
      <c r="G37" s="702">
        <f>huishoudens!F12</f>
        <v>7411.7287411550687</v>
      </c>
      <c r="H37" s="702">
        <f>huishoudens!G12</f>
        <v>0</v>
      </c>
      <c r="I37" s="702">
        <f>huishoudens!H12</f>
        <v>0</v>
      </c>
      <c r="J37" s="702">
        <f>huishoudens!I12</f>
        <v>0</v>
      </c>
      <c r="K37" s="702">
        <f>huishoudens!J12</f>
        <v>300.58388910962395</v>
      </c>
      <c r="L37" s="702">
        <f>huishoudens!K12</f>
        <v>0</v>
      </c>
      <c r="M37" s="702">
        <f>huishoudens!L12</f>
        <v>0</v>
      </c>
      <c r="N37" s="702">
        <f>huishoudens!M12</f>
        <v>0</v>
      </c>
      <c r="O37" s="702">
        <f>huishoudens!N12</f>
        <v>0</v>
      </c>
      <c r="P37" s="702">
        <f>huishoudens!O12</f>
        <v>0</v>
      </c>
      <c r="Q37" s="812">
        <f>huishoudens!P12</f>
        <v>0</v>
      </c>
      <c r="R37" s="905">
        <f ca="1">SUM(C37:Q37)</f>
        <v>30154.218936603775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4805.713349808073</v>
      </c>
      <c r="D39" s="702">
        <f ca="1">industrie!C22</f>
        <v>0</v>
      </c>
      <c r="E39" s="702">
        <f>industrie!D22</f>
        <v>549.87628565481543</v>
      </c>
      <c r="F39" s="702">
        <f>industrie!E22</f>
        <v>48.008485832801249</v>
      </c>
      <c r="G39" s="702">
        <f>industrie!F22</f>
        <v>1389.2588336445788</v>
      </c>
      <c r="H39" s="702">
        <f>industrie!G22</f>
        <v>0</v>
      </c>
      <c r="I39" s="702">
        <f>industrie!H22</f>
        <v>0</v>
      </c>
      <c r="J39" s="702">
        <f>industrie!I22</f>
        <v>0</v>
      </c>
      <c r="K39" s="702">
        <f>industrie!J22</f>
        <v>52.620108904793391</v>
      </c>
      <c r="L39" s="702">
        <f>industrie!K22</f>
        <v>0</v>
      </c>
      <c r="M39" s="702">
        <f>industrie!L22</f>
        <v>0</v>
      </c>
      <c r="N39" s="702">
        <f>industrie!M22</f>
        <v>0</v>
      </c>
      <c r="O39" s="702">
        <f>industrie!N22</f>
        <v>0</v>
      </c>
      <c r="P39" s="702">
        <f>industrie!O22</f>
        <v>0</v>
      </c>
      <c r="Q39" s="812">
        <f>industrie!P22</f>
        <v>0</v>
      </c>
      <c r="R39" s="906">
        <f ca="1">SUM(C39:Q39)</f>
        <v>6845.4770638450618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15585.299448873646</v>
      </c>
      <c r="D41" s="747">
        <f t="shared" ref="D41:R41" ca="1" si="4">SUM(D35:D40)</f>
        <v>0</v>
      </c>
      <c r="E41" s="747">
        <f t="shared" ca="1" si="4"/>
        <v>38921.561450210793</v>
      </c>
      <c r="F41" s="747">
        <f t="shared" si="4"/>
        <v>1371.3229332407775</v>
      </c>
      <c r="G41" s="747">
        <f t="shared" ca="1" si="4"/>
        <v>9557.1716173334135</v>
      </c>
      <c r="H41" s="747">
        <f t="shared" si="4"/>
        <v>0</v>
      </c>
      <c r="I41" s="747">
        <f t="shared" si="4"/>
        <v>0</v>
      </c>
      <c r="J41" s="747">
        <f t="shared" si="4"/>
        <v>0</v>
      </c>
      <c r="K41" s="747">
        <f t="shared" si="4"/>
        <v>353.20399801441732</v>
      </c>
      <c r="L41" s="747">
        <f t="shared" si="4"/>
        <v>0</v>
      </c>
      <c r="M41" s="747">
        <f t="shared" ca="1" si="4"/>
        <v>0</v>
      </c>
      <c r="N41" s="747">
        <f t="shared" si="4"/>
        <v>0</v>
      </c>
      <c r="O41" s="747">
        <f t="shared" ca="1" si="4"/>
        <v>0</v>
      </c>
      <c r="P41" s="747">
        <f t="shared" si="4"/>
        <v>0</v>
      </c>
      <c r="Q41" s="748">
        <f t="shared" si="4"/>
        <v>0</v>
      </c>
      <c r="R41" s="749">
        <f t="shared" ca="1" si="4"/>
        <v>65788.559447673048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264.6360246117984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264.6360246117984</v>
      </c>
    </row>
    <row r="45" spans="1:18" ht="15" thickBot="1">
      <c r="A45" s="876" t="s">
        <v>308</v>
      </c>
      <c r="B45" s="886"/>
      <c r="C45" s="711">
        <f ca="1">transport!B18</f>
        <v>9.7322243892975974E-2</v>
      </c>
      <c r="D45" s="711">
        <f>transport!C18</f>
        <v>0</v>
      </c>
      <c r="E45" s="711">
        <f>transport!D18</f>
        <v>0.53960775597102695</v>
      </c>
      <c r="F45" s="711">
        <f>transport!E18</f>
        <v>61.010937358318245</v>
      </c>
      <c r="G45" s="711">
        <f>transport!F18</f>
        <v>0</v>
      </c>
      <c r="H45" s="711">
        <f>transport!G18</f>
        <v>10439.802917394209</v>
      </c>
      <c r="I45" s="711">
        <f>transport!H18</f>
        <v>2189.757961572423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12691.208746324814</v>
      </c>
    </row>
    <row r="46" spans="1:18" ht="15.75" thickBot="1">
      <c r="A46" s="874" t="s">
        <v>231</v>
      </c>
      <c r="B46" s="887"/>
      <c r="C46" s="747">
        <f t="shared" ref="C46:R46" ca="1" si="5">SUM(C43:C45)</f>
        <v>9.7322243892975974E-2</v>
      </c>
      <c r="D46" s="747">
        <f t="shared" ca="1" si="5"/>
        <v>0</v>
      </c>
      <c r="E46" s="747">
        <f t="shared" si="5"/>
        <v>0.53960775597102695</v>
      </c>
      <c r="F46" s="747">
        <f t="shared" si="5"/>
        <v>61.010937358318245</v>
      </c>
      <c r="G46" s="747">
        <f t="shared" si="5"/>
        <v>0</v>
      </c>
      <c r="H46" s="747">
        <f t="shared" si="5"/>
        <v>10704.438942006007</v>
      </c>
      <c r="I46" s="747">
        <f t="shared" si="5"/>
        <v>2189.757961572423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12955.844770936612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24.937569402590274</v>
      </c>
      <c r="D48" s="702">
        <f ca="1">+landbouw!C12</f>
        <v>0</v>
      </c>
      <c r="E48" s="702">
        <f>+landbouw!D12</f>
        <v>464.18695652899743</v>
      </c>
      <c r="F48" s="702">
        <f>+landbouw!E12</f>
        <v>0.2752257327931435</v>
      </c>
      <c r="G48" s="702">
        <f>+landbouw!F12</f>
        <v>158.77214342431</v>
      </c>
      <c r="H48" s="702">
        <f>+landbouw!G12</f>
        <v>0</v>
      </c>
      <c r="I48" s="702">
        <f>+landbouw!H12</f>
        <v>0</v>
      </c>
      <c r="J48" s="702">
        <f>+landbouw!I12</f>
        <v>0</v>
      </c>
      <c r="K48" s="702">
        <f>+landbouw!J12</f>
        <v>3.660352215463198</v>
      </c>
      <c r="L48" s="702">
        <f>+landbouw!K12</f>
        <v>0</v>
      </c>
      <c r="M48" s="702">
        <f>+landbouw!L12</f>
        <v>0</v>
      </c>
      <c r="N48" s="702">
        <f>+landbouw!M12</f>
        <v>0</v>
      </c>
      <c r="O48" s="702">
        <f>+landbouw!N12</f>
        <v>0</v>
      </c>
      <c r="P48" s="702">
        <f>+landbouw!O12</f>
        <v>0</v>
      </c>
      <c r="Q48" s="703">
        <f>+landbouw!P12</f>
        <v>0</v>
      </c>
      <c r="R48" s="745">
        <f ca="1">SUM(C48:Q48)</f>
        <v>651.83224730415407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15610.33434052013</v>
      </c>
      <c r="D53" s="757">
        <f t="shared" ref="D53:Q53" ca="1" si="6">D41+D46+D48</f>
        <v>0</v>
      </c>
      <c r="E53" s="757">
        <f t="shared" ca="1" si="6"/>
        <v>39386.28801449576</v>
      </c>
      <c r="F53" s="757">
        <f t="shared" si="6"/>
        <v>1432.6090963318888</v>
      </c>
      <c r="G53" s="757">
        <f t="shared" ca="1" si="6"/>
        <v>9715.9437607577238</v>
      </c>
      <c r="H53" s="757">
        <f t="shared" si="6"/>
        <v>10704.438942006007</v>
      </c>
      <c r="I53" s="757">
        <f t="shared" si="6"/>
        <v>2189.757961572423</v>
      </c>
      <c r="J53" s="757">
        <f t="shared" si="6"/>
        <v>0</v>
      </c>
      <c r="K53" s="757">
        <f t="shared" si="6"/>
        <v>356.86435022988053</v>
      </c>
      <c r="L53" s="757">
        <f t="shared" si="6"/>
        <v>0</v>
      </c>
      <c r="M53" s="757">
        <f t="shared" ca="1" si="6"/>
        <v>0</v>
      </c>
      <c r="N53" s="757">
        <f t="shared" si="6"/>
        <v>0</v>
      </c>
      <c r="O53" s="757">
        <f t="shared" ca="1" si="6"/>
        <v>0</v>
      </c>
      <c r="P53" s="757">
        <f>P41+P46+P48</f>
        <v>0</v>
      </c>
      <c r="Q53" s="758">
        <f t="shared" si="6"/>
        <v>0</v>
      </c>
      <c r="R53" s="759">
        <f ca="1">R41+R46+R48</f>
        <v>79396.236465913811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0.21539199259339231</v>
      </c>
      <c r="D55" s="823">
        <f t="shared" ca="1" si="7"/>
        <v>0</v>
      </c>
      <c r="E55" s="823">
        <f t="shared" ca="1" si="7"/>
        <v>0.20199999999999996</v>
      </c>
      <c r="F55" s="823">
        <f t="shared" si="7"/>
        <v>0.22700000000000001</v>
      </c>
      <c r="G55" s="823">
        <f t="shared" ca="1" si="7"/>
        <v>0.26700000000000007</v>
      </c>
      <c r="H55" s="823">
        <f t="shared" si="7"/>
        <v>0.26700000000000002</v>
      </c>
      <c r="I55" s="823">
        <f t="shared" si="7"/>
        <v>0.24899999999999997</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1839.0729463133785</v>
      </c>
      <c r="C66" s="779">
        <f>'lokale energieproductie'!B6</f>
        <v>1839.0729463133785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1839.0729463133785</v>
      </c>
      <c r="C69" s="787">
        <f>SUM(C64:C68)</f>
        <v>1839.0729463133785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34851.593362864827</v>
      </c>
      <c r="C4" s="461">
        <f>huishoudens!C8</f>
        <v>0</v>
      </c>
      <c r="D4" s="461">
        <f>huishoudens!D8</f>
        <v>67648.540478161536</v>
      </c>
      <c r="E4" s="461">
        <f>huishoudens!E8</f>
        <v>5595.3611906094648</v>
      </c>
      <c r="F4" s="461">
        <f>huishoudens!F8</f>
        <v>27759.283674738082</v>
      </c>
      <c r="G4" s="461">
        <f>huishoudens!G8</f>
        <v>0</v>
      </c>
      <c r="H4" s="461">
        <f>huishoudens!H8</f>
        <v>0</v>
      </c>
      <c r="I4" s="461">
        <f>huishoudens!I8</f>
        <v>0</v>
      </c>
      <c r="J4" s="461">
        <f>huishoudens!J8</f>
        <v>849.10703138311862</v>
      </c>
      <c r="K4" s="461">
        <f>huishoudens!K8</f>
        <v>0</v>
      </c>
      <c r="L4" s="461">
        <f>huishoudens!L8</f>
        <v>0</v>
      </c>
      <c r="M4" s="461">
        <f>huishoudens!M8</f>
        <v>0</v>
      </c>
      <c r="N4" s="461">
        <f>huishoudens!N8</f>
        <v>5781.8922744093425</v>
      </c>
      <c r="O4" s="461">
        <f>huishoudens!O8</f>
        <v>59.406666666666666</v>
      </c>
      <c r="P4" s="462">
        <f>huishoudens!P8</f>
        <v>190.66666666666669</v>
      </c>
      <c r="Q4" s="463">
        <f>SUM(B4:P4)</f>
        <v>142735.85134549969</v>
      </c>
    </row>
    <row r="5" spans="1:17">
      <c r="A5" s="460" t="s">
        <v>156</v>
      </c>
      <c r="B5" s="461">
        <f ca="1">tertiair!B16</f>
        <v>13986.758799868039</v>
      </c>
      <c r="C5" s="461">
        <f ca="1">tertiair!C16</f>
        <v>0</v>
      </c>
      <c r="D5" s="461">
        <f ca="1">tertiair!D16</f>
        <v>122310.2969701354</v>
      </c>
      <c r="E5" s="461">
        <f>tertiair!E16</f>
        <v>234.21787286179577</v>
      </c>
      <c r="F5" s="461">
        <f ca="1">tertiair!F16</f>
        <v>2832.1499720365741</v>
      </c>
      <c r="G5" s="461">
        <f>tertiair!G16</f>
        <v>0</v>
      </c>
      <c r="H5" s="461">
        <f>tertiair!H16</f>
        <v>0</v>
      </c>
      <c r="I5" s="461">
        <f>tertiair!I16</f>
        <v>0</v>
      </c>
      <c r="J5" s="461">
        <f>tertiair!J16</f>
        <v>0</v>
      </c>
      <c r="K5" s="461">
        <f>tertiair!K16</f>
        <v>0</v>
      </c>
      <c r="L5" s="461">
        <f ca="1">tertiair!L16</f>
        <v>0</v>
      </c>
      <c r="M5" s="461">
        <f>tertiair!M16</f>
        <v>0</v>
      </c>
      <c r="N5" s="461">
        <f ca="1">tertiair!N16</f>
        <v>413.36833793672054</v>
      </c>
      <c r="O5" s="461">
        <f>tertiair!O16</f>
        <v>1.5633333333333335</v>
      </c>
      <c r="P5" s="462">
        <f>tertiair!P16</f>
        <v>171.6</v>
      </c>
      <c r="Q5" s="460">
        <f t="shared" ref="Q5:Q13" ca="1" si="0">SUM(B5:P5)</f>
        <v>139949.95528617187</v>
      </c>
    </row>
    <row r="6" spans="1:17">
      <c r="A6" s="460" t="s">
        <v>195</v>
      </c>
      <c r="B6" s="461">
        <f>'openbare verlichting'!B8</f>
        <v>1208.0119999999999</v>
      </c>
      <c r="C6" s="461"/>
      <c r="D6" s="461"/>
      <c r="E6" s="461"/>
      <c r="F6" s="461"/>
      <c r="G6" s="461"/>
      <c r="H6" s="461"/>
      <c r="I6" s="461"/>
      <c r="J6" s="461"/>
      <c r="K6" s="461"/>
      <c r="L6" s="461"/>
      <c r="M6" s="461"/>
      <c r="N6" s="461"/>
      <c r="O6" s="461"/>
      <c r="P6" s="462"/>
      <c r="Q6" s="460">
        <f t="shared" si="0"/>
        <v>1208.0119999999999</v>
      </c>
    </row>
    <row r="7" spans="1:17">
      <c r="A7" s="460" t="s">
        <v>112</v>
      </c>
      <c r="B7" s="461">
        <f>landbouw!B8</f>
        <v>115.77760668970801</v>
      </c>
      <c r="C7" s="461">
        <f>landbouw!C8</f>
        <v>0</v>
      </c>
      <c r="D7" s="461">
        <f>landbouw!D8</f>
        <v>2297.9552303415712</v>
      </c>
      <c r="E7" s="461">
        <f>landbouw!E8</f>
        <v>1.2124481620843326</v>
      </c>
      <c r="F7" s="461">
        <f>landbouw!F8</f>
        <v>594.65222256295874</v>
      </c>
      <c r="G7" s="461">
        <f>landbouw!G8</f>
        <v>0</v>
      </c>
      <c r="H7" s="461">
        <f>landbouw!H8</f>
        <v>0</v>
      </c>
      <c r="I7" s="461">
        <f>landbouw!I8</f>
        <v>0</v>
      </c>
      <c r="J7" s="461">
        <f>landbouw!J8</f>
        <v>10.339978009783046</v>
      </c>
      <c r="K7" s="461">
        <f>landbouw!K8</f>
        <v>0</v>
      </c>
      <c r="L7" s="461">
        <f>landbouw!L8</f>
        <v>0</v>
      </c>
      <c r="M7" s="461">
        <f>landbouw!M8</f>
        <v>0</v>
      </c>
      <c r="N7" s="461">
        <f>landbouw!N8</f>
        <v>0</v>
      </c>
      <c r="O7" s="461">
        <f>landbouw!O8</f>
        <v>0</v>
      </c>
      <c r="P7" s="462">
        <f>landbouw!P8</f>
        <v>0</v>
      </c>
      <c r="Q7" s="460">
        <f t="shared" si="0"/>
        <v>3019.9374857661055</v>
      </c>
    </row>
    <row r="8" spans="1:17">
      <c r="A8" s="460" t="s">
        <v>656</v>
      </c>
      <c r="B8" s="461">
        <f>industrie!B18</f>
        <v>22311.476355019804</v>
      </c>
      <c r="C8" s="461">
        <f>industrie!C18</f>
        <v>0</v>
      </c>
      <c r="D8" s="461">
        <f>industrie!D18</f>
        <v>2722.1598299743337</v>
      </c>
      <c r="E8" s="461">
        <f>industrie!E18</f>
        <v>211.49112701674559</v>
      </c>
      <c r="F8" s="461">
        <f>industrie!F18</f>
        <v>5203.2166054104073</v>
      </c>
      <c r="G8" s="461">
        <f>industrie!G18</f>
        <v>0</v>
      </c>
      <c r="H8" s="461">
        <f>industrie!H18</f>
        <v>0</v>
      </c>
      <c r="I8" s="461">
        <f>industrie!I18</f>
        <v>0</v>
      </c>
      <c r="J8" s="461">
        <f>industrie!J18</f>
        <v>148.64437543726947</v>
      </c>
      <c r="K8" s="461">
        <f>industrie!K18</f>
        <v>0</v>
      </c>
      <c r="L8" s="461">
        <f>industrie!L18</f>
        <v>0</v>
      </c>
      <c r="M8" s="461">
        <f>industrie!M18</f>
        <v>0</v>
      </c>
      <c r="N8" s="461">
        <f>industrie!N18</f>
        <v>469.30847243903736</v>
      </c>
      <c r="O8" s="461">
        <f>industrie!O18</f>
        <v>0</v>
      </c>
      <c r="P8" s="462">
        <f>industrie!P18</f>
        <v>0</v>
      </c>
      <c r="Q8" s="460">
        <f t="shared" si="0"/>
        <v>31066.2967652976</v>
      </c>
    </row>
    <row r="9" spans="1:17" s="466" customFormat="1">
      <c r="A9" s="464" t="s">
        <v>574</v>
      </c>
      <c r="B9" s="465">
        <f>transport!B14</f>
        <v>0.45183779917342004</v>
      </c>
      <c r="C9" s="465">
        <f>transport!C14</f>
        <v>0</v>
      </c>
      <c r="D9" s="465">
        <f>transport!D14</f>
        <v>2.6713255246090442</v>
      </c>
      <c r="E9" s="465">
        <f>transport!E14</f>
        <v>268.77064915558697</v>
      </c>
      <c r="F9" s="465">
        <f>transport!F14</f>
        <v>0</v>
      </c>
      <c r="G9" s="465">
        <f>transport!G14</f>
        <v>39100.385458405275</v>
      </c>
      <c r="H9" s="465">
        <f>transport!H14</f>
        <v>8794.208681013748</v>
      </c>
      <c r="I9" s="465">
        <f>transport!I14</f>
        <v>0</v>
      </c>
      <c r="J9" s="465">
        <f>transport!J14</f>
        <v>0</v>
      </c>
      <c r="K9" s="465">
        <f>transport!K14</f>
        <v>0</v>
      </c>
      <c r="L9" s="465">
        <f>transport!L14</f>
        <v>0</v>
      </c>
      <c r="M9" s="465">
        <f>transport!M14</f>
        <v>2095.3097145301331</v>
      </c>
      <c r="N9" s="465">
        <f>transport!N14</f>
        <v>0</v>
      </c>
      <c r="O9" s="465">
        <f>transport!O14</f>
        <v>0</v>
      </c>
      <c r="P9" s="465">
        <f>transport!P14</f>
        <v>0</v>
      </c>
      <c r="Q9" s="464">
        <f>SUM(B9:P9)</f>
        <v>50261.797666428531</v>
      </c>
    </row>
    <row r="10" spans="1:17">
      <c r="A10" s="460" t="s">
        <v>564</v>
      </c>
      <c r="B10" s="461">
        <f>transport!B54</f>
        <v>0</v>
      </c>
      <c r="C10" s="461">
        <f>transport!C54</f>
        <v>0</v>
      </c>
      <c r="D10" s="461">
        <f>transport!D54</f>
        <v>0</v>
      </c>
      <c r="E10" s="461">
        <f>transport!E54</f>
        <v>0</v>
      </c>
      <c r="F10" s="461">
        <f>transport!F54</f>
        <v>0</v>
      </c>
      <c r="G10" s="461">
        <f>transport!G54</f>
        <v>991.14615959475054</v>
      </c>
      <c r="H10" s="461">
        <f>transport!H54</f>
        <v>0</v>
      </c>
      <c r="I10" s="461">
        <f>transport!I54</f>
        <v>0</v>
      </c>
      <c r="J10" s="461">
        <f>transport!J54</f>
        <v>0</v>
      </c>
      <c r="K10" s="461">
        <f>transport!K54</f>
        <v>0</v>
      </c>
      <c r="L10" s="461">
        <f>transport!L54</f>
        <v>0</v>
      </c>
      <c r="M10" s="461">
        <f>transport!M54</f>
        <v>42.248254772259585</v>
      </c>
      <c r="N10" s="461">
        <f>transport!N54</f>
        <v>0</v>
      </c>
      <c r="O10" s="461">
        <f>transport!O54</f>
        <v>0</v>
      </c>
      <c r="P10" s="462">
        <f>transport!P54</f>
        <v>0</v>
      </c>
      <c r="Q10" s="460">
        <f t="shared" si="0"/>
        <v>1033.3944143670101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72474.069962241556</v>
      </c>
      <c r="C14" s="471">
        <f t="shared" ref="C14:Q14" ca="1" si="1">SUM(C4:C13)</f>
        <v>0</v>
      </c>
      <c r="D14" s="471">
        <f t="shared" ca="1" si="1"/>
        <v>194981.62383413746</v>
      </c>
      <c r="E14" s="471">
        <f t="shared" si="1"/>
        <v>6311.0532878056774</v>
      </c>
      <c r="F14" s="471">
        <f t="shared" ca="1" si="1"/>
        <v>36389.302474748023</v>
      </c>
      <c r="G14" s="471">
        <f t="shared" si="1"/>
        <v>40091.531618000023</v>
      </c>
      <c r="H14" s="471">
        <f t="shared" si="1"/>
        <v>8794.208681013748</v>
      </c>
      <c r="I14" s="471">
        <f t="shared" si="1"/>
        <v>0</v>
      </c>
      <c r="J14" s="471">
        <f t="shared" si="1"/>
        <v>1008.0913848301711</v>
      </c>
      <c r="K14" s="471">
        <f t="shared" si="1"/>
        <v>0</v>
      </c>
      <c r="L14" s="471">
        <f t="shared" ca="1" si="1"/>
        <v>0</v>
      </c>
      <c r="M14" s="471">
        <f t="shared" si="1"/>
        <v>2137.5579693023928</v>
      </c>
      <c r="N14" s="471">
        <f t="shared" ca="1" si="1"/>
        <v>6664.5690847851001</v>
      </c>
      <c r="O14" s="471">
        <f t="shared" si="1"/>
        <v>60.97</v>
      </c>
      <c r="P14" s="472">
        <f t="shared" si="1"/>
        <v>362.26666666666665</v>
      </c>
      <c r="Q14" s="472">
        <f t="shared" ca="1" si="1"/>
        <v>369275.24496353086</v>
      </c>
    </row>
    <row r="16" spans="1:17">
      <c r="A16" s="474" t="s">
        <v>569</v>
      </c>
      <c r="B16" s="828">
        <f ca="1">huishoudens!B10</f>
        <v>0.21539199259339231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7506.7541394821019</v>
      </c>
      <c r="C21" s="461">
        <f t="shared" ref="C21:C30" ca="1" si="3">C4*$C$16</f>
        <v>0</v>
      </c>
      <c r="D21" s="461">
        <f t="shared" ref="D21:D30" si="4">D4*$D$16</f>
        <v>13665.005176588631</v>
      </c>
      <c r="E21" s="461">
        <f t="shared" ref="E21:E30" si="5">E4*$E$16</f>
        <v>1270.1469902683486</v>
      </c>
      <c r="F21" s="461">
        <f t="shared" ref="F21:F30" si="6">F4*$F$16</f>
        <v>7411.7287411550687</v>
      </c>
      <c r="G21" s="461">
        <f t="shared" ref="G21:G30" si="7">G4*$G$16</f>
        <v>0</v>
      </c>
      <c r="H21" s="461">
        <f t="shared" ref="H21:H30" si="8">H4*$H$16</f>
        <v>0</v>
      </c>
      <c r="I21" s="461">
        <f t="shared" ref="I21:I30" si="9">I4*$I$16</f>
        <v>0</v>
      </c>
      <c r="J21" s="461">
        <f t="shared" ref="J21:J30" si="10">J4*$J$16</f>
        <v>300.58388910962395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30154.218936603775</v>
      </c>
    </row>
    <row r="22" spans="1:17">
      <c r="A22" s="460" t="s">
        <v>156</v>
      </c>
      <c r="B22" s="461">
        <f t="shared" ca="1" si="2"/>
        <v>3012.6358478267416</v>
      </c>
      <c r="C22" s="461">
        <f t="shared" ca="1" si="3"/>
        <v>0</v>
      </c>
      <c r="D22" s="461">
        <f t="shared" ca="1" si="4"/>
        <v>24706.679987967353</v>
      </c>
      <c r="E22" s="461">
        <f t="shared" si="5"/>
        <v>53.167457139627643</v>
      </c>
      <c r="F22" s="461">
        <f t="shared" ca="1" si="6"/>
        <v>756.18404253376536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28528.667335467489</v>
      </c>
    </row>
    <row r="23" spans="1:17">
      <c r="A23" s="460" t="s">
        <v>195</v>
      </c>
      <c r="B23" s="461">
        <f t="shared" ca="1" si="2"/>
        <v>260.19611175672901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260.19611175672901</v>
      </c>
    </row>
    <row r="24" spans="1:17">
      <c r="A24" s="460" t="s">
        <v>112</v>
      </c>
      <c r="B24" s="461">
        <f t="shared" ca="1" si="2"/>
        <v>24.937569402590274</v>
      </c>
      <c r="C24" s="461">
        <f t="shared" ca="1" si="3"/>
        <v>0</v>
      </c>
      <c r="D24" s="461">
        <f t="shared" si="4"/>
        <v>464.18695652899743</v>
      </c>
      <c r="E24" s="461">
        <f t="shared" si="5"/>
        <v>0.2752257327931435</v>
      </c>
      <c r="F24" s="461">
        <f t="shared" si="6"/>
        <v>158.77214342431</v>
      </c>
      <c r="G24" s="461">
        <f t="shared" si="7"/>
        <v>0</v>
      </c>
      <c r="H24" s="461">
        <f t="shared" si="8"/>
        <v>0</v>
      </c>
      <c r="I24" s="461">
        <f t="shared" si="9"/>
        <v>0</v>
      </c>
      <c r="J24" s="461">
        <f t="shared" si="10"/>
        <v>3.660352215463198</v>
      </c>
      <c r="K24" s="461">
        <f t="shared" si="11"/>
        <v>0</v>
      </c>
      <c r="L24" s="461">
        <f t="shared" si="12"/>
        <v>0</v>
      </c>
      <c r="M24" s="461">
        <f t="shared" si="13"/>
        <v>0</v>
      </c>
      <c r="N24" s="461">
        <f t="shared" si="14"/>
        <v>0</v>
      </c>
      <c r="O24" s="461">
        <f t="shared" si="15"/>
        <v>0</v>
      </c>
      <c r="P24" s="462">
        <f t="shared" si="16"/>
        <v>0</v>
      </c>
      <c r="Q24" s="460">
        <f t="shared" ca="1" si="17"/>
        <v>651.83224730415407</v>
      </c>
    </row>
    <row r="25" spans="1:17">
      <c r="A25" s="460" t="s">
        <v>656</v>
      </c>
      <c r="B25" s="461">
        <f t="shared" ca="1" si="2"/>
        <v>4805.713349808073</v>
      </c>
      <c r="C25" s="461">
        <f t="shared" ca="1" si="3"/>
        <v>0</v>
      </c>
      <c r="D25" s="461">
        <f t="shared" si="4"/>
        <v>549.87628565481543</v>
      </c>
      <c r="E25" s="461">
        <f t="shared" si="5"/>
        <v>48.008485832801249</v>
      </c>
      <c r="F25" s="461">
        <f t="shared" si="6"/>
        <v>1389.2588336445788</v>
      </c>
      <c r="G25" s="461">
        <f t="shared" si="7"/>
        <v>0</v>
      </c>
      <c r="H25" s="461">
        <f t="shared" si="8"/>
        <v>0</v>
      </c>
      <c r="I25" s="461">
        <f t="shared" si="9"/>
        <v>0</v>
      </c>
      <c r="J25" s="461">
        <f t="shared" si="10"/>
        <v>52.620108904793391</v>
      </c>
      <c r="K25" s="461">
        <f t="shared" si="11"/>
        <v>0</v>
      </c>
      <c r="L25" s="461">
        <f t="shared" si="12"/>
        <v>0</v>
      </c>
      <c r="M25" s="461">
        <f t="shared" si="13"/>
        <v>0</v>
      </c>
      <c r="N25" s="461">
        <f t="shared" si="14"/>
        <v>0</v>
      </c>
      <c r="O25" s="461">
        <f t="shared" si="15"/>
        <v>0</v>
      </c>
      <c r="P25" s="462">
        <f t="shared" si="16"/>
        <v>0</v>
      </c>
      <c r="Q25" s="460">
        <f t="shared" ca="1" si="17"/>
        <v>6845.4770638450618</v>
      </c>
    </row>
    <row r="26" spans="1:17" s="466" customFormat="1">
      <c r="A26" s="464" t="s">
        <v>574</v>
      </c>
      <c r="B26" s="822">
        <f t="shared" ca="1" si="2"/>
        <v>9.7322243892975974E-2</v>
      </c>
      <c r="C26" s="465">
        <f t="shared" ca="1" si="3"/>
        <v>0</v>
      </c>
      <c r="D26" s="465">
        <f t="shared" si="4"/>
        <v>0.53960775597102695</v>
      </c>
      <c r="E26" s="465">
        <f t="shared" si="5"/>
        <v>61.010937358318245</v>
      </c>
      <c r="F26" s="465">
        <f t="shared" si="6"/>
        <v>0</v>
      </c>
      <c r="G26" s="465">
        <f t="shared" si="7"/>
        <v>10439.802917394209</v>
      </c>
      <c r="H26" s="465">
        <f t="shared" si="8"/>
        <v>2189.757961572423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12691.208746324814</v>
      </c>
    </row>
    <row r="27" spans="1:17">
      <c r="A27" s="460" t="s">
        <v>564</v>
      </c>
      <c r="B27" s="461">
        <f t="shared" ca="1" si="2"/>
        <v>0</v>
      </c>
      <c r="C27" s="461">
        <f t="shared" ca="1" si="3"/>
        <v>0</v>
      </c>
      <c r="D27" s="461">
        <f t="shared" si="4"/>
        <v>0</v>
      </c>
      <c r="E27" s="461">
        <f t="shared" si="5"/>
        <v>0</v>
      </c>
      <c r="F27" s="461">
        <f t="shared" si="6"/>
        <v>0</v>
      </c>
      <c r="G27" s="461">
        <f t="shared" si="7"/>
        <v>264.6360246117984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264.6360246117984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15610.33434052013</v>
      </c>
      <c r="C31" s="471">
        <f t="shared" ca="1" si="18"/>
        <v>0</v>
      </c>
      <c r="D31" s="471">
        <f t="shared" ca="1" si="18"/>
        <v>39386.28801449576</v>
      </c>
      <c r="E31" s="471">
        <f t="shared" si="18"/>
        <v>1432.6090963318888</v>
      </c>
      <c r="F31" s="471">
        <f t="shared" ca="1" si="18"/>
        <v>9715.943760757722</v>
      </c>
      <c r="G31" s="471">
        <f t="shared" si="18"/>
        <v>10704.438942006007</v>
      </c>
      <c r="H31" s="471">
        <f t="shared" si="18"/>
        <v>2189.757961572423</v>
      </c>
      <c r="I31" s="471">
        <f t="shared" si="18"/>
        <v>0</v>
      </c>
      <c r="J31" s="471">
        <f t="shared" si="18"/>
        <v>356.86435022988053</v>
      </c>
      <c r="K31" s="471">
        <f t="shared" si="18"/>
        <v>0</v>
      </c>
      <c r="L31" s="471">
        <f t="shared" ca="1" si="18"/>
        <v>0</v>
      </c>
      <c r="M31" s="471">
        <f t="shared" si="18"/>
        <v>0</v>
      </c>
      <c r="N31" s="471">
        <f t="shared" ca="1" si="18"/>
        <v>0</v>
      </c>
      <c r="O31" s="471">
        <f t="shared" si="18"/>
        <v>0</v>
      </c>
      <c r="P31" s="472">
        <f t="shared" si="18"/>
        <v>0</v>
      </c>
      <c r="Q31" s="472">
        <f t="shared" ca="1" si="18"/>
        <v>79396.236465913826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0.21539199259339231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1</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19.066666666666666</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0.21539199259339231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0.21539199259339231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2018-06-27T09:01:58Z</dcterms:modified>
</cp:coreProperties>
</file>