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R22" s="1"/>
  <c r="O22"/>
  <c r="N7" i="48"/>
  <c r="N24" s="1"/>
  <c r="N12" i="17"/>
  <c r="O48" i="14" s="1"/>
  <c r="F67"/>
  <c r="F69" s="1"/>
  <c r="E9" i="18"/>
  <c r="D67" i="14"/>
  <c r="C9" i="18"/>
  <c r="E13" i="14"/>
  <c r="C14" i="48"/>
  <c r="E20" i="15"/>
  <c r="F36" i="14" s="1"/>
  <c r="E16" i="15"/>
  <c r="K67" i="14"/>
  <c r="K69" s="1"/>
  <c r="J9" i="18"/>
  <c r="J67" i="14"/>
  <c r="I9" i="18"/>
  <c r="M7"/>
  <c r="M9" s="1"/>
  <c r="J16" i="15"/>
  <c r="K10"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N19" i="14" l="1"/>
  <c r="D69"/>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F13" l="1"/>
  <c r="F15" s="1"/>
  <c r="F23" s="1"/>
  <c r="F55" s="1"/>
  <c r="O13"/>
  <c r="O15" s="1"/>
  <c r="F22" i="16"/>
  <c r="G39" i="14" s="1"/>
  <c r="G41" s="1"/>
  <c r="N22" i="16"/>
  <c r="O39" i="14" s="1"/>
  <c r="O41"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<sst xmlns="http://schemas.openxmlformats.org/spreadsheetml/2006/main" count="2029" uniqueCount="894">
  <si>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</si>
  <si>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</si>
  <si>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</si>
  <si>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</si>
  <si>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</si>
  <si>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</si>
  <si>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</si>
  <si>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</si>
  <si>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</si>
  <si>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</si>
  <si>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</si>
  <si>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</si>
  <si>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</si>
  <si>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</si>
  <si>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</si>
  <si>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</si>
  <si>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</si>
  <si>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</si>
  <si>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</si>
  <si>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</si>
  <si>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</si>
  <si>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</si>
  <si>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</si>
  <si>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</si>
  <si>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</si>
  <si>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</si>
  <si>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</si>
  <si>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</si>
  <si>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</si>
  <si>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</si>
  <si>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</si>
  <si>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</si>
  <si>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</si>
  <si>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</si>
  <si>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</si>
  <si>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</si>
  <si>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</si>
  <si>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</si>
  <si>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</si>
  <si>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</si>
  <si>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</si>
  <si>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</si>
  <si>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</si>
  <si>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</si>
  <si>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</si>
  <si>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</si>
  <si>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</si>
  <si>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</si>
  <si>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</si>
  <si>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</si>
  <si>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</si>
  <si>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</si>
  <si>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</si>
  <si>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</si>
  <si>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</si>
  <si>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</si>
  <si>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</si>
  <si>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</si>
  <si>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</si>
  <si>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</si>
  <si>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</si>
  <si>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</si>
  <si>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</si>
  <si>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</si>
  <si>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</si>
  <si>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</si>
  <si>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</si>
  <si>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</si>
  <si>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</si>
  <si>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</si>
  <si>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</si>
  <si>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</si>
  <si>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</si>
  <si>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</si>
  <si>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</si>
  <si>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</si>
  <si>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</si>
  <si>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</si>
  <si>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</si>
  <si>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</si>
  <si>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</si>
  <si>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</si>
  <si>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</si>
  <si>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</si>
  <si>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</si>
  <si>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</si>
  <si>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</si>
  <si>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</si>
  <si>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</si>
  <si>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</si>
  <si>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</si>
  <si>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</si>
  <si>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</si>
  <si>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</si>
  <si>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</si>
  <si>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</si>
  <si>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</si>
  <si>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</si>
  <si>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</si>
  <si>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</si>
  <si>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</si>
  <si>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</si>
  <si>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</si>
  <si>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</si>
  <si>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</si>
  <si>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</si>
  <si>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</si>
  <si>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</si>
  <si>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</si>
  <si>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</si>
  <si>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</si>
  <si>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</si>
  <si>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</si>
  <si>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</si>
  <si>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</si>
  <si>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</si>
  <si>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</si>
  <si>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</si>
  <si>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</si>
  <si>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</si>
  <si>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</si>
  <si>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</si>
  <si>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</si>
  <si>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</si>
  <si>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</si>
  <si>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</si>
  <si>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</si>
  <si>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</si>
  <si>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</si>
  <si>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</si>
  <si>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</si>
  <si>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</si>
  <si>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</si>
  <si>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</si>
  <si>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</si>
  <si>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</si>
  <si>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</si>
  <si>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</si>
  <si>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</si>
  <si>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</si>
  <si>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</si>
  <si>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</si>
  <si>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</si>
  <si>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</si>
  <si>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</si>
  <si>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</si>
  <si>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</si>
  <si>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</si>
  <si>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</si>
  <si>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</si>
  <si>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</si>
  <si>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</si>
  <si>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</si>
  <si>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</si>
  <si>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</si>
  <si>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</si>
  <si>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</si>
  <si>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</si>
  <si>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</si>
  <si>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</si>
  <si>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</si>
  <si>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</si>
  <si>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</si>
  <si>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</si>
  <si>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</si>
  <si>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</si>
  <si>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</si>
  <si>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</si>
  <si>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</si>
  <si>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</si>
  <si>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</si>
  <si>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</si>
  <si>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</si>
  <si>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</si>
  <si>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</si>
  <si>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</si>
  <si>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</si>
  <si>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</si>
  <si>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</si>
  <si>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</si>
  <si>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</si>
  <si>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</si>
  <si>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</si>
  <si>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</si>
  <si>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</si>
  <si>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</si>
  <si>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</si>
  <si>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</si>
  <si>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</si>
  <si>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</si>
  <si>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</si>
  <si>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</si>
  <si>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</si>
  <si>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</si>
  <si>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</si>
  <si>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</si>
  <si>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</si>
  <si>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</si>
  <si>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</si>
  <si>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</si>
  <si>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</si>
  <si>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</si>
  <si>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</si>
  <si>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</si>
  <si>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</si>
  <si>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</si>
  <si>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</si>
  <si>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</si>
  <si>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</si>
  <si>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</si>
  <si>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</si>
  <si>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</si>
  <si>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</si>
  <si>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</si>
  <si>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</si>
  <si>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</si>
  <si>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</si>
  <si>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</si>
  <si>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</si>
  <si>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</si>
  <si>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</si>
  <si>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</si>
  <si>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</si>
  <si>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</si>
  <si>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</si>
  <si>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</si>
  <si>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</si>
  <si>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</si>
  <si>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</si>
  <si>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</si>
  <si>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</si>
  <si>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</si>
  <si>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</si>
  <si>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</si>
  <si>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</si>
  <si>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</si>
  <si>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</si>
  <si>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</si>
  <si>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</si>
  <si>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</si>
  <si>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</si>
  <si>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</si>
  <si>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</si>
  <si>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</si>
  <si>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</si>
  <si>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</si>
  <si>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</si>
  <si>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</si>
  <si>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</si>
  <si>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</si>
  <si>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</si>
  <si>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</si>
  <si>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</si>
  <si>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</si>
  <si>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</si>
  <si>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</si>
  <si>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</si>
  <si>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</si>
  <si>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</si>
  <si>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</si>
  <si>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</si>
  <si>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</si>
  <si>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</si>
  <si>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</si>
  <si>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</si>
  <si>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</si>
  <si>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</si>
  <si>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</si>
  <si>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</si>
  <si>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</si>
  <si>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</si>
  <si>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</si>
  <si>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</si>
  <si>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</si>
  <si>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</si>
  <si>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</si>
  <si>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</si>
  <si>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</si>
  <si>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</si>
  <si>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</si>
  <si>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</si>
  <si>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</si>
  <si>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</si>
  <si>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</si>
  <si>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</si>
  <si>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</si>
  <si>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</si>
  <si>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</si>
  <si>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</si>
  <si>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</si>
  <si>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</si>
  <si>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</si>
  <si>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</si>
  <si>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</si>
  <si>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</si>
  <si>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</si>
  <si>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</si>
  <si>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</si>
  <si>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</si>
  <si>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</si>
  <si>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</si>
  <si>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</si>
  <si>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</si>
  <si>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</si>
  <si>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</si>
  <si>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</si>
  <si>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</si>
  <si>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</si>
  <si>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</si>
  <si>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</si>
  <si>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</si>
  <si>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</si>
  <si>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</si>
  <si>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</si>
  <si>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</si>
  <si>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</si>
  <si>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</si>
  <si>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</si>
  <si>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</si>
  <si>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</si>
  <si>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</si>
  <si>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</si>
  <si>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</si>
  <si>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</si>
  <si>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</si>
  <si>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</si>
  <si>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</si>
  <si>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</si>
  <si>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</si>
  <si>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</si>
  <si>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</si>
  <si>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</si>
  <si>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</si>
  <si>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</si>
  <si>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</si>
  <si>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</si>
  <si>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</si>
  <si>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</si>
  <si>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</si>
  <si>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</si>
  <si>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</si>
  <si>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</si>
  <si>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</si>
  <si>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</si>
  <si>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</si>
  <si>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</si>
  <si>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</si>
  <si>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</si>
  <si>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</si>
  <si>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</si>
  <si>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</si>
  <si>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</si>
  <si>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</si>
  <si>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</si>
  <si>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</si>
  <si>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</si>
  <si>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</si>
  <si>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</si>
  <si>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</si>
  <si>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</si>
  <si>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</si>
  <si>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</si>
  <si>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</si>
  <si>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</si>
  <si>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</si>
  <si>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</si>
  <si>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</si>
  <si>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</si>
  <si>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</si>
  <si>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</si>
  <si>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</si>
  <si>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</si>
  <si>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</si>
  <si>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</si>
  <si>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</si>
  <si>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</si>
  <si>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</si>
  <si>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</si>
  <si>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</si>
  <si>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</si>
  <si>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</si>
  <si>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</si>
  <si>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</si>
  <si>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</si>
  <si>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</si>
  <si>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</si>
  <si>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</si>
  <si>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</si>
  <si>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</si>
  <si>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</si>
  <si>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</si>
  <si>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</si>
  <si>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</si>
  <si>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</si>
  <si>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</si>
  <si>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</si>
  <si>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</si>
  <si>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</si>
  <si>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</si>
  <si>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</si>
  <si>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</si>
  <si>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</si>
  <si>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</si>
  <si>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</si>
  <si>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</si>
  <si>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</si>
  <si>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</si>
  <si>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</si>
  <si>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</si>
  <si>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</si>
  <si>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</si>
  <si>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</si>
  <si>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</si>
  <si>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</si>
  <si>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</si>
  <si>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</si>
  <si>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</si>
  <si>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</si>
  <si>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</si>
  <si>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</si>
  <si>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</si>
  <si>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</si>
  <si>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</si>
  <si>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</si>
  <si>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</si>
  <si>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</si>
  <si>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</si>
  <si>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</si>
  <si>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</si>
  <si>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</si>
  <si>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</si>
  <si>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</si>
  <si>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</si>
  <si>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</si>
  <si>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</si>
  <si>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</si>
  <si>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</si>
  <si>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</si>
  <si>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</si>
  <si>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</si>
  <si>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</si>
  <si>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</si>
  <si>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</si>
  <si>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</si>
  <si>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</si>
  <si>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</si>
  <si>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</si>
  <si>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</si>
  <si>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</si>
  <si>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</si>
  <si>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</si>
  <si>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</si>
  <si>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</si>
  <si>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</si>
  <si>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</si>
  <si>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</si>
  <si>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</si>
  <si>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</si>
  <si>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</si>
  <si>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</si>
  <si>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</si>
  <si>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</si>
  <si>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</si>
  <si>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</si>
  <si>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</si>
  <si>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</si>
  <si>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</si>
  <si>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</si>
  <si>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</si>
  <si>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</si>
  <si>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</si>
  <si>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</si>
  <si>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</si>
  <si>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</si>
  <si>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</si>
  <si>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</si>
  <si>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</si>
  <si>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</si>
  <si>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</si>
  <si>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</si>
  <si>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</si>
  <si>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</si>
  <si>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</si>
  <si>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</si>
  <si>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</si>
  <si>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</si>
  <si>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</si>
  <si>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</si>
  <si>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</si>
  <si>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</si>
  <si>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</si>
  <si>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</si>
  <si>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</si>
  <si>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</si>
  <si>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</si>
  <si>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</si>
  <si>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</si>
  <si>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</si>
  <si>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</si>
  <si>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</si>
  <si>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</si>
  <si>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</si>
  <si>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</si>
  <si>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</si>
  <si>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</si>
  <si>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</si>
  <si>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</si>
  <si>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</si>
  <si>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</si>
  <si>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</si>
  <si>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</si>
  <si>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</si>
  <si>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</si>
  <si>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</si>
  <si>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</si>
  <si>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</si>
  <si>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</si>
  <si>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</si>
  <si>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</si>
  <si>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</si>
  <si>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</si>
  <si>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</si>
  <si>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</si>
  <si>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</si>
  <si>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</si>
  <si>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</si>
  <si>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</si>
  <si>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</si>
  <si>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</si>
  <si>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</si>
  <si>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</si>
  <si>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</si>
  <si>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</si>
  <si>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</si>
  <si>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</si>
  <si>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</si>
  <si>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</si>
  <si>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</si>
  <si>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</si>
  <si>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</si>
  <si>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</si>
  <si>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</si>
  <si>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</si>
  <si>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</si>
  <si>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</si>
  <si>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</si>
  <si>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</si>
  <si>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</si>
  <si>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</si>
  <si>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</si>
  <si>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</si>
  <si>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</si>
  <si>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</si>
  <si>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</si>
  <si>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</si>
  <si>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</si>
  <si>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</si>
  <si>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</si>
  <si>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</si>
  <si>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</si>
  <si>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</si>
  <si>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</si>
  <si>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</si>
  <si>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</si>
  <si>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</si>
  <si>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</si>
  <si>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</si>
  <si>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</si>
  <si>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</si>
  <si>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</si>
  <si>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</si>
  <si>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</si>
  <si>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</si>
  <si>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</si>
  <si>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</si>
  <si>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</si>
  <si>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</si>
  <si>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</si>
  <si>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</si>
  <si>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</si>
  <si>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</si>
  <si>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</si>
  <si>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</si>
  <si>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</si>
  <si>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</si>
  <si>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</si>
  <si>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</si>
  <si>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</si>
  <si>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</si>
  <si>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</si>
  <si>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</si>
  <si>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</si>
  <si>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</si>
  <si>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</si>
  <si>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</si>
  <si>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</si>
  <si>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</si>
  <si>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</si>
  <si>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</si>
  <si>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</si>
  <si>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</si>
  <si>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</si>
  <si>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</si>
  <si>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</si>
  <si>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</si>
  <si>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</si>
  <si>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</si>
  <si>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</si>
  <si>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</si>
  <si>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</si>
  <si>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</si>
  <si>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</si>
  <si>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</si>
  <si>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</si>
  <si>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</si>
  <si>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</si>
  <si>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</si>
  <si>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</si>
  <si>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</si>
  <si>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</si>
  <si>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</si>
  <si>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</si>
  <si>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</si>
  <si>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</si>
  <si>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</si>
  <si>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</si>
  <si>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</si>
  <si>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</si>
  <si>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</si>
  <si>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</si>
  <si>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</si>
  <si>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</si>
  <si>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</si>
  <si>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</si>
  <si>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</si>
  <si>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</si>
  <si>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</si>
  <si>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</si>
  <si>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</si>
  <si>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</si>
  <si>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</si>
  <si>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</si>
  <si>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</si>
  <si>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</si>
  <si>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</si>
  <si>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</si>
  <si>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</si>
  <si>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</si>
  <si>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</si>
  <si>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</si>
  <si>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</si>
  <si>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</si>
  <si>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</si>
  <si>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</si>
  <si>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</si>
  <si>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</si>
  <si>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</si>
  <si>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</si>
  <si>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</si>
  <si>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</si>
  <si>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</si>
  <si>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</si>
  <si>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</si>
  <si>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</si>
  <si>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</si>
  <si>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</si>
  <si>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</si>
  <si>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</si>
  <si>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</si>
  <si>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</si>
  <si>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</si>
  <si>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</si>
  <si>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</si>
  <si>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</si>
  <si>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</si>
  <si>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</si>
  <si>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</si>
  <si>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</si>
  <si>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</si>
  <si>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</si>
  <si>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</si>
  <si>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</si>
  <si>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</si>
  <si>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</si>
  <si>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</si>
  <si>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</si>
  <si>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</si>
  <si>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</si>
  <si>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</si>
  <si>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</si>
  <si>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</si>
  <si>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</si>
  <si>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</si>
  <si>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</si>
  <si>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</si>
  <si>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</si>
  <si>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</si>
  <si>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</si>
  <si>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</si>
  <si>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</si>
  <si>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</si>
  <si>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</si>
  <si>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</si>
  <si>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</si>
  <si>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</si>
  <si>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</si>
  <si>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</si>
  <si>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</si>
  <si>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</si>
  <si>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</si>
  <si>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</si>
  <si>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</si>
  <si>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</si>
  <si>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</si>
  <si>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</si>
  <si>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</si>
  <si>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</si>
  <si>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</si>
  <si>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</si>
  <si>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</si>
  <si>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</si>
  <si>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</si>
  <si>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</si>
  <si>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</si>
  <si>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</si>
  <si>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</si>
  <si>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</si>
  <si>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</si>
  <si>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</si>
  <si>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</si>
  <si>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</si>
  <si>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</si>
  <si>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</si>
  <si>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</si>
  <si>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</si>
  <si>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</si>
  <si>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</si>
  <si>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</si>
  <si>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</si>
  <si>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</si>
  <si>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</si>
  <si>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</si>
  <si>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</si>
  <si>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</si>
  <si>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</si>
  <si>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</si>
  <si>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</si>
  <si>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</si>
  <si>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</si>
  <si>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</si>
  <si>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</si>
  <si>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</si>
  <si>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</si>
  <si>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</si>
  <si>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</si>
  <si>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</si>
  <si>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</si>
  <si>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</si>
  <si>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</si>
  <si>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</si>
  <si>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</si>
  <si>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</si>
  <si>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</si>
  <si>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</si>
  <si>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</si>
  <si>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</si>
  <si>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</si>
  <si>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</si>
  <si>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</si>
  <si>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</si>
  <si>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</si>
  <si>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</si>
  <si>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</si>
  <si>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</si>
  <si>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</si>
  <si>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</si>
  <si>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</si>
  <si>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</si>
  <si>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</si>
  <si>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</si>
  <si>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</si>
  <si>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</si>
  <si>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</si>
  <si>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</si>
  <si>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</si>
  <si>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</si>
  <si>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</si>
  <si>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</si>
  <si>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</si>
  <si>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</si>
  <si>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</si>
  <si>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</si>
  <si>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</si>
  <si>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</si>
  <si>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</si>
  <si>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</si>
  <si>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</si>
  <si>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</si>
  <si>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</si>
  <si>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</si>
  <si>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</si>
  <si>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</si>
  <si>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</si>
  <si>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</si>
  <si>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</si>
  <si>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</si>
  <si>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</si>
  <si>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</si>
  <si>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</si>
  <si>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</si>
  <si>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</si>
  <si>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</si>
  <si>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</si>
  <si>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</si>
  <si>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</si>
  <si>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</si>
  <si>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</si>
  <si>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</si>
  <si>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</si>
  <si>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</si>
  <si>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</si>
  <si>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</si>
  <si>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</si>
  <si>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</si>
  <si>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</si>
  <si>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</si>
  <si>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</si>
  <si>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</si>
  <si>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</si>
  <si>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</si>
  <si>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</si>
  <si>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</si>
  <si>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</si>
  <si>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</si>
  <si>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</si>
  <si>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</si>
  <si>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</si>
  <si>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</si>
  <si>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</si>
  <si>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</si>
  <si>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</si>
  <si>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</si>
  <si>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</si>
  <si>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</si>
  <si>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</si>
  <si>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</si>
  <si>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</si>
  <si>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</si>
  <si>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</si>
  <si>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</si>
  <si>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</si>
  <si>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</si>
  <si>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</si>
  <si>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</si>
  <si>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</si>
  <si>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</si>
  <si>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</si>
  <si>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</si>
  <si>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</si>
  <si>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</si>
  <si>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</si>
  <si>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</si>
  <si>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</si>
  <si>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</si>
  <si>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</si>
  <si>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</si>
  <si>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</si>
  <si>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</si>
  <si>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</si>
  <si>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</si>
  <si>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</si>
  <si>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</si>
  <si>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</si>
  <si>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</si>
  <si>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</si>
  <si>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</si>
  <si>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</si>
  <si>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</si>
  <si>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</si>
  <si>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</si>
  <si>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</si>
  <si>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</si>
  <si>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</si>
  <si>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</si>
  <si>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</si>
  <si>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38016</t>
  </si>
  <si>
    <t>NIEUWPOORT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</si>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</sst>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38016</v>
      </c>
      <c r="B6" s="396"/>
      <c r="C6" s="397"/>
    </row>
    <row r="7" spans="1:7" s="394" customFormat="1" ht="15.75" customHeight="1">
      <c r="A7" s="398" t="str">
        <f>txtMunicipality</f>
        <v>NIEUWPOORT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38016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5596</v>
      </c>
      <c r="C9" s="336">
        <v>6006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1950</v>
      </c>
    </row>
    <row r="15" spans="1:6">
      <c r="A15" s="1194" t="s">
        <v>185</v>
      </c>
      <c r="B15" s="333">
        <v>18</v>
      </c>
    </row>
    <row r="16" spans="1:6">
      <c r="A16" s="1194" t="s">
        <v>6</v>
      </c>
      <c r="B16" s="333">
        <v>656</v>
      </c>
    </row>
    <row r="17" spans="1:6">
      <c r="A17" s="1194" t="s">
        <v>7</v>
      </c>
      <c r="B17" s="333">
        <v>456</v>
      </c>
    </row>
    <row r="18" spans="1:6">
      <c r="A18" s="1194" t="s">
        <v>8</v>
      </c>
      <c r="B18" s="333">
        <v>820</v>
      </c>
    </row>
    <row r="19" spans="1:6">
      <c r="A19" s="1194" t="s">
        <v>9</v>
      </c>
      <c r="B19" s="333">
        <v>1072</v>
      </c>
    </row>
    <row r="20" spans="1:6">
      <c r="A20" s="1194" t="s">
        <v>10</v>
      </c>
      <c r="B20" s="333">
        <v>504</v>
      </c>
    </row>
    <row r="21" spans="1:6">
      <c r="A21" s="1194" t="s">
        <v>11</v>
      </c>
      <c r="B21" s="333">
        <v>3135</v>
      </c>
    </row>
    <row r="22" spans="1:6">
      <c r="A22" s="1194" t="s">
        <v>12</v>
      </c>
      <c r="B22" s="333">
        <v>8699</v>
      </c>
    </row>
    <row r="23" spans="1:6">
      <c r="A23" s="1194" t="s">
        <v>13</v>
      </c>
      <c r="B23" s="333">
        <v>96</v>
      </c>
    </row>
    <row r="24" spans="1:6">
      <c r="A24" s="1194" t="s">
        <v>14</v>
      </c>
      <c r="B24" s="333">
        <v>10</v>
      </c>
    </row>
    <row r="25" spans="1:6">
      <c r="A25" s="1194" t="s">
        <v>15</v>
      </c>
      <c r="B25" s="333">
        <v>876</v>
      </c>
    </row>
    <row r="26" spans="1:6">
      <c r="A26" s="1194" t="s">
        <v>16</v>
      </c>
      <c r="B26" s="333">
        <v>800</v>
      </c>
    </row>
    <row r="27" spans="1:6">
      <c r="A27" s="1194" t="s">
        <v>17</v>
      </c>
      <c r="B27" s="333">
        <v>0</v>
      </c>
    </row>
    <row r="28" spans="1:6">
      <c r="A28" s="1194" t="s">
        <v>18</v>
      </c>
      <c r="B28" s="333">
        <v>31122</v>
      </c>
    </row>
    <row r="29" spans="1:6">
      <c r="A29" s="1194" t="s">
        <v>888</v>
      </c>
      <c r="B29" s="333">
        <v>93</v>
      </c>
    </row>
    <row r="30" spans="1:6">
      <c r="A30" s="1190" t="s">
        <v>889</v>
      </c>
      <c r="B30" s="1190">
        <v>25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14</v>
      </c>
      <c r="D36" s="333">
        <v>2574583.8270243402</v>
      </c>
      <c r="E36" s="333">
        <v>4</v>
      </c>
      <c r="F36" s="333">
        <v>6919.0313206212004</v>
      </c>
    </row>
    <row r="37" spans="1:6">
      <c r="A37" s="1194" t="s">
        <v>25</v>
      </c>
      <c r="B37" s="1194" t="s">
        <v>28</v>
      </c>
      <c r="C37" s="333">
        <v>0</v>
      </c>
      <c r="D37" s="333">
        <v>0</v>
      </c>
      <c r="E37" s="333">
        <v>0</v>
      </c>
      <c r="F37" s="333">
        <v>0</v>
      </c>
    </row>
    <row r="38" spans="1:6">
      <c r="A38" s="1194" t="s">
        <v>25</v>
      </c>
      <c r="B38" s="1194" t="s">
        <v>29</v>
      </c>
      <c r="C38" s="333">
        <v>0</v>
      </c>
      <c r="D38" s="333">
        <v>0</v>
      </c>
      <c r="E38" s="333">
        <v>7</v>
      </c>
      <c r="F38" s="333">
        <v>201107.90378158001</v>
      </c>
    </row>
    <row r="39" spans="1:6">
      <c r="A39" s="1194" t="s">
        <v>30</v>
      </c>
      <c r="B39" s="1194" t="s">
        <v>31</v>
      </c>
      <c r="C39" s="333">
        <v>4492</v>
      </c>
      <c r="D39" s="333">
        <v>53902379.491416998</v>
      </c>
      <c r="E39" s="333">
        <v>12897</v>
      </c>
      <c r="F39" s="333">
        <v>33706051.989560403</v>
      </c>
    </row>
    <row r="40" spans="1:6">
      <c r="A40" s="1194" t="s">
        <v>30</v>
      </c>
      <c r="B40" s="1194" t="s">
        <v>29</v>
      </c>
      <c r="C40" s="333">
        <v>1</v>
      </c>
      <c r="D40" s="333">
        <v>25043.520740740601</v>
      </c>
      <c r="E40" s="333">
        <v>1</v>
      </c>
      <c r="F40" s="333">
        <v>12063</v>
      </c>
    </row>
    <row r="41" spans="1:6">
      <c r="A41" s="1194" t="s">
        <v>32</v>
      </c>
      <c r="B41" s="1194" t="s">
        <v>33</v>
      </c>
      <c r="C41" s="333">
        <v>42</v>
      </c>
      <c r="D41" s="333">
        <v>566460.72161796596</v>
      </c>
      <c r="E41" s="333">
        <v>186</v>
      </c>
      <c r="F41" s="333">
        <v>1538277.57687497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129705.033860069</v>
      </c>
      <c r="E44" s="333">
        <v>9</v>
      </c>
      <c r="F44" s="333">
        <v>150945.34116934499</v>
      </c>
    </row>
    <row r="45" spans="1:6">
      <c r="A45" s="1194" t="s">
        <v>32</v>
      </c>
      <c r="B45" s="1194" t="s">
        <v>37</v>
      </c>
      <c r="C45" s="333">
        <v>0</v>
      </c>
      <c r="D45" s="333">
        <v>0</v>
      </c>
      <c r="E45" s="333">
        <v>3</v>
      </c>
      <c r="F45" s="333">
        <v>233295.419673411</v>
      </c>
    </row>
    <row r="46" spans="1:6">
      <c r="A46" s="1194" t="s">
        <v>32</v>
      </c>
      <c r="B46" s="1194" t="s">
        <v>38</v>
      </c>
      <c r="C46" s="333">
        <v>0</v>
      </c>
      <c r="D46" s="333">
        <v>0</v>
      </c>
      <c r="E46" s="333">
        <v>0</v>
      </c>
      <c r="F46" s="333">
        <v>0</v>
      </c>
    </row>
    <row r="47" spans="1:6">
      <c r="A47" s="1194" t="s">
        <v>32</v>
      </c>
      <c r="B47" s="1194" t="s">
        <v>39</v>
      </c>
      <c r="C47" s="333">
        <v>3</v>
      </c>
      <c r="D47" s="333">
        <v>102063.971126943</v>
      </c>
      <c r="E47" s="333">
        <v>5</v>
      </c>
      <c r="F47" s="333">
        <v>37031.628921489799</v>
      </c>
    </row>
    <row r="48" spans="1:6">
      <c r="A48" s="1194" t="s">
        <v>32</v>
      </c>
      <c r="B48" s="1194" t="s">
        <v>29</v>
      </c>
      <c r="C48" s="333">
        <v>30</v>
      </c>
      <c r="D48" s="333">
        <v>2218755.6169239199</v>
      </c>
      <c r="E48" s="333">
        <v>35</v>
      </c>
      <c r="F48" s="333">
        <v>1123293.2200054601</v>
      </c>
    </row>
    <row r="49" spans="1:6">
      <c r="A49" s="1194" t="s">
        <v>32</v>
      </c>
      <c r="B49" s="1194" t="s">
        <v>40</v>
      </c>
      <c r="C49" s="333">
        <v>0</v>
      </c>
      <c r="D49" s="333">
        <v>0</v>
      </c>
      <c r="E49" s="333">
        <v>0</v>
      </c>
      <c r="F49" s="333">
        <v>0</v>
      </c>
    </row>
    <row r="50" spans="1:6">
      <c r="A50" s="1194" t="s">
        <v>32</v>
      </c>
      <c r="B50" s="1194" t="s">
        <v>41</v>
      </c>
      <c r="C50" s="333">
        <v>10</v>
      </c>
      <c r="D50" s="333">
        <v>1033246.50187272</v>
      </c>
      <c r="E50" s="333">
        <v>24</v>
      </c>
      <c r="F50" s="333">
        <v>2241164.3467182699</v>
      </c>
    </row>
    <row r="51" spans="1:6">
      <c r="A51" s="1194" t="s">
        <v>42</v>
      </c>
      <c r="B51" s="1194" t="s">
        <v>43</v>
      </c>
      <c r="C51" s="333">
        <v>10</v>
      </c>
      <c r="D51" s="333">
        <v>270228.56814882002</v>
      </c>
      <c r="E51" s="333">
        <v>66</v>
      </c>
      <c r="F51" s="333">
        <v>1203858.5510734399</v>
      </c>
    </row>
    <row r="52" spans="1:6">
      <c r="A52" s="1194" t="s">
        <v>42</v>
      </c>
      <c r="B52" s="1194" t="s">
        <v>29</v>
      </c>
      <c r="C52" s="333">
        <v>3</v>
      </c>
      <c r="D52" s="333">
        <v>122949.744751012</v>
      </c>
      <c r="E52" s="333">
        <v>9</v>
      </c>
      <c r="F52" s="333">
        <v>53094.059088378497</v>
      </c>
    </row>
    <row r="53" spans="1:6">
      <c r="A53" s="1194" t="s">
        <v>44</v>
      </c>
      <c r="B53" s="1194" t="s">
        <v>45</v>
      </c>
      <c r="C53" s="333">
        <v>192</v>
      </c>
      <c r="D53" s="333">
        <v>3035667.0703502502</v>
      </c>
      <c r="E53" s="333">
        <v>577</v>
      </c>
      <c r="F53" s="333">
        <v>4825061.9726955397</v>
      </c>
    </row>
    <row r="54" spans="1:6">
      <c r="A54" s="1194" t="s">
        <v>46</v>
      </c>
      <c r="B54" s="1194" t="s">
        <v>47</v>
      </c>
      <c r="C54" s="333">
        <v>0</v>
      </c>
      <c r="D54" s="333">
        <v>0</v>
      </c>
      <c r="E54" s="333">
        <v>1</v>
      </c>
      <c r="F54" s="333">
        <v>1059577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31</v>
      </c>
      <c r="D57" s="333">
        <v>2805210.2819090099</v>
      </c>
      <c r="E57" s="333">
        <v>79</v>
      </c>
      <c r="F57" s="333">
        <v>3290879.5245682099</v>
      </c>
    </row>
    <row r="58" spans="1:6">
      <c r="A58" s="1194" t="s">
        <v>49</v>
      </c>
      <c r="B58" s="1194" t="s">
        <v>51</v>
      </c>
      <c r="C58" s="333">
        <v>16</v>
      </c>
      <c r="D58" s="333">
        <v>370698.57317298203</v>
      </c>
      <c r="E58" s="333">
        <v>45</v>
      </c>
      <c r="F58" s="333">
        <v>189508.41250768499</v>
      </c>
    </row>
    <row r="59" spans="1:6">
      <c r="A59" s="1194" t="s">
        <v>49</v>
      </c>
      <c r="B59" s="1194" t="s">
        <v>52</v>
      </c>
      <c r="C59" s="333">
        <v>149</v>
      </c>
      <c r="D59" s="333">
        <v>3667692.3693653098</v>
      </c>
      <c r="E59" s="333">
        <v>421</v>
      </c>
      <c r="F59" s="333">
        <v>8705786.6344051398</v>
      </c>
    </row>
    <row r="60" spans="1:6">
      <c r="A60" s="1194" t="s">
        <v>49</v>
      </c>
      <c r="B60" s="1194" t="s">
        <v>53</v>
      </c>
      <c r="C60" s="333">
        <v>125</v>
      </c>
      <c r="D60" s="333">
        <v>12093537.511342799</v>
      </c>
      <c r="E60" s="333">
        <v>207</v>
      </c>
      <c r="F60" s="333">
        <v>7423760.4545445899</v>
      </c>
    </row>
    <row r="61" spans="1:6">
      <c r="A61" s="1194" t="s">
        <v>49</v>
      </c>
      <c r="B61" s="1194" t="s">
        <v>54</v>
      </c>
      <c r="C61" s="333">
        <v>247</v>
      </c>
      <c r="D61" s="333">
        <v>12485197.5955803</v>
      </c>
      <c r="E61" s="333">
        <v>1445</v>
      </c>
      <c r="F61" s="333">
        <v>13791104.154762199</v>
      </c>
    </row>
    <row r="62" spans="1:6">
      <c r="A62" s="1194" t="s">
        <v>49</v>
      </c>
      <c r="B62" s="1194" t="s">
        <v>55</v>
      </c>
      <c r="C62" s="333">
        <v>10</v>
      </c>
      <c r="D62" s="333">
        <v>1691389.20289653</v>
      </c>
      <c r="E62" s="333">
        <v>14</v>
      </c>
      <c r="F62" s="333">
        <v>323483.82805737102</v>
      </c>
    </row>
    <row r="63" spans="1:6">
      <c r="A63" s="1194" t="s">
        <v>49</v>
      </c>
      <c r="B63" s="1194" t="s">
        <v>29</v>
      </c>
      <c r="C63" s="333">
        <v>84</v>
      </c>
      <c r="D63" s="333">
        <v>12258069.0800546</v>
      </c>
      <c r="E63" s="333">
        <v>89</v>
      </c>
      <c r="F63" s="333">
        <v>5014789.93220062</v>
      </c>
    </row>
    <row r="64" spans="1:6">
      <c r="A64" s="1194" t="s">
        <v>56</v>
      </c>
      <c r="B64" s="1194" t="s">
        <v>57</v>
      </c>
      <c r="C64" s="333">
        <v>0</v>
      </c>
      <c r="D64" s="333">
        <v>0</v>
      </c>
      <c r="E64" s="333">
        <v>0</v>
      </c>
      <c r="F64" s="333">
        <v>0</v>
      </c>
    </row>
    <row r="65" spans="1:6">
      <c r="A65" s="1194" t="s">
        <v>56</v>
      </c>
      <c r="B65" s="1194" t="s">
        <v>29</v>
      </c>
      <c r="C65" s="333">
        <v>3</v>
      </c>
      <c r="D65" s="333">
        <v>48240.843253287203</v>
      </c>
      <c r="E65" s="333">
        <v>1</v>
      </c>
      <c r="F65" s="333">
        <v>3321.0579806272999</v>
      </c>
    </row>
    <row r="66" spans="1:6">
      <c r="A66" s="1194" t="s">
        <v>56</v>
      </c>
      <c r="B66" s="1194" t="s">
        <v>58</v>
      </c>
      <c r="C66" s="333">
        <v>0</v>
      </c>
      <c r="D66" s="333">
        <v>0</v>
      </c>
      <c r="E66" s="333">
        <v>3</v>
      </c>
      <c r="F66" s="333">
        <v>45620.419035578903</v>
      </c>
    </row>
    <row r="67" spans="1:6">
      <c r="A67" s="1201" t="s">
        <v>56</v>
      </c>
      <c r="B67" s="1201" t="s">
        <v>59</v>
      </c>
      <c r="C67" s="333">
        <v>0</v>
      </c>
      <c r="D67" s="333">
        <v>0</v>
      </c>
      <c r="E67" s="333">
        <v>0</v>
      </c>
      <c r="F67" s="333">
        <v>0</v>
      </c>
    </row>
    <row r="68" spans="1:6">
      <c r="A68" s="1190" t="s">
        <v>56</v>
      </c>
      <c r="B68" s="1190" t="s">
        <v>60</v>
      </c>
      <c r="C68" s="333">
        <v>0</v>
      </c>
      <c r="D68" s="333">
        <v>0</v>
      </c>
      <c r="E68" s="333">
        <v>12</v>
      </c>
      <c r="F68" s="333">
        <v>2018639.97655475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31989989</v>
      </c>
      <c r="E73" s="333">
        <v>52841725.716376945</v>
      </c>
      <c r="F73" s="333">
        <v>33441727</v>
      </c>
    </row>
    <row r="74" spans="1:6">
      <c r="A74" s="1194" t="s">
        <v>64</v>
      </c>
      <c r="B74" s="1194" t="s">
        <v>775</v>
      </c>
      <c r="C74" s="1205" t="s">
        <v>776</v>
      </c>
      <c r="D74" s="333">
        <v>3571894.0044812998</v>
      </c>
      <c r="E74" s="333">
        <v>5554643.079680942</v>
      </c>
      <c r="F74" s="333">
        <v>3676611.2375574904</v>
      </c>
    </row>
    <row r="75" spans="1:6">
      <c r="A75" s="1194" t="s">
        <v>65</v>
      </c>
      <c r="B75" s="1194" t="s">
        <v>773</v>
      </c>
      <c r="C75" s="1205" t="s">
        <v>777</v>
      </c>
      <c r="D75" s="333">
        <v>3033603</v>
      </c>
      <c r="E75" s="333">
        <v>5192836.465523296</v>
      </c>
      <c r="F75" s="333">
        <v>3175804</v>
      </c>
    </row>
    <row r="76" spans="1:6">
      <c r="A76" s="1194" t="s">
        <v>65</v>
      </c>
      <c r="B76" s="1194" t="s">
        <v>775</v>
      </c>
      <c r="C76" s="1205" t="s">
        <v>778</v>
      </c>
      <c r="D76" s="333">
        <v>46487.004481299577</v>
      </c>
      <c r="E76" s="333">
        <v>139234.25054956574</v>
      </c>
      <c r="F76" s="333">
        <v>61844.23755749056</v>
      </c>
    </row>
    <row r="77" spans="1:6">
      <c r="A77" s="1194" t="s">
        <v>66</v>
      </c>
      <c r="B77" s="1194" t="s">
        <v>773</v>
      </c>
      <c r="C77" s="1205" t="s">
        <v>779</v>
      </c>
      <c r="D77" s="333">
        <v>44917671</v>
      </c>
      <c r="E77" s="333">
        <v>52106236.985623851</v>
      </c>
      <c r="F77" s="333">
        <v>54084161</v>
      </c>
    </row>
    <row r="78" spans="1:6">
      <c r="A78" s="1190" t="s">
        <v>66</v>
      </c>
      <c r="B78" s="1190" t="s">
        <v>775</v>
      </c>
      <c r="C78" s="1190" t="s">
        <v>780</v>
      </c>
      <c r="D78" s="1190">
        <v>11538339</v>
      </c>
      <c r="E78" s="1190">
        <v>16627612.533785988</v>
      </c>
      <c r="F78" s="336">
        <v>15715440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205115.99103740085</v>
      </c>
      <c r="C83" s="333">
        <v>184799.7104478117</v>
      </c>
      <c r="D83" s="333">
        <v>183235.52488501888</v>
      </c>
    </row>
    <row r="84" spans="1:6">
      <c r="A84" s="1190" t="s">
        <v>338</v>
      </c>
      <c r="B84" s="336">
        <v>228558.47240770029</v>
      </c>
      <c r="C84" s="336">
        <v>233781.62309825228</v>
      </c>
      <c r="D84" s="336">
        <v>231647.39235396497</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556.79781085808349</v>
      </c>
    </row>
    <row r="92" spans="1:6">
      <c r="A92" s="1190" t="s">
        <v>69</v>
      </c>
      <c r="B92" s="336">
        <v>227.06698822201508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2669</v>
      </c>
    </row>
    <row r="98" spans="1:6">
      <c r="A98" s="1194" t="s">
        <v>72</v>
      </c>
      <c r="B98" s="333">
        <v>1</v>
      </c>
    </row>
    <row r="99" spans="1:6">
      <c r="A99" s="1194" t="s">
        <v>73</v>
      </c>
      <c r="B99" s="333">
        <v>41</v>
      </c>
    </row>
    <row r="100" spans="1:6">
      <c r="A100" s="1194" t="s">
        <v>74</v>
      </c>
      <c r="B100" s="333">
        <v>983</v>
      </c>
    </row>
    <row r="101" spans="1:6">
      <c r="A101" s="1194" t="s">
        <v>75</v>
      </c>
      <c r="B101" s="333">
        <v>41</v>
      </c>
    </row>
    <row r="102" spans="1:6">
      <c r="A102" s="1194" t="s">
        <v>76</v>
      </c>
      <c r="B102" s="333">
        <v>133</v>
      </c>
    </row>
    <row r="103" spans="1:6">
      <c r="A103" s="1194" t="s">
        <v>77</v>
      </c>
      <c r="B103" s="333">
        <v>51</v>
      </c>
    </row>
    <row r="104" spans="1:6">
      <c r="A104" s="1194" t="s">
        <v>78</v>
      </c>
      <c r="B104" s="333">
        <v>586</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3</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18</v>
      </c>
    </row>
    <row r="130" spans="1:6">
      <c r="A130" s="1194" t="s">
        <v>296</v>
      </c>
      <c r="B130" s="333">
        <v>2</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81461.069753533709</v>
      </c>
      <c r="C3" s="43" t="s">
        <v>171</v>
      </c>
      <c r="D3" s="43"/>
      <c r="E3" s="156"/>
      <c r="F3" s="43"/>
      <c r="G3" s="43"/>
      <c r="H3" s="43"/>
      <c r="I3" s="43"/>
      <c r="J3" s="43"/>
      <c r="K3" s="96"/>
    </row>
    <row r="4" spans="1:11">
      <c r="A4" s="364" t="s">
        <v>172</v>
      </c>
      <c r="B4" s="49">
        <f>IF(ISERROR('SEAP template'!B69),0,'SEAP template'!B69)</f>
        <v>783.86479908009858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0.21887341215723249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1059.577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1059.577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0.21887341215723249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231.91323343332394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33718.114989560403</v>
      </c>
      <c r="C5" s="17">
        <f>IF(ISERROR('Eigen informatie GS &amp; warmtenet'!B57),0,'Eigen informatie GS &amp; warmtenet'!B57)</f>
        <v>0</v>
      </c>
      <c r="D5" s="30">
        <f>(SUM(HH_hh_gas_kWh,HH_rest_gas_kWh)/1000)*0.902</f>
        <v>48642.535556966279</v>
      </c>
      <c r="E5" s="17">
        <f>B46*B57</f>
        <v>872.65666583040877</v>
      </c>
      <c r="F5" s="17">
        <f>B51*B62</f>
        <v>0</v>
      </c>
      <c r="G5" s="18"/>
      <c r="H5" s="17"/>
      <c r="I5" s="17"/>
      <c r="J5" s="17">
        <f>B50*B61+C50*C61</f>
        <v>0</v>
      </c>
      <c r="K5" s="17"/>
      <c r="L5" s="17"/>
      <c r="M5" s="17"/>
      <c r="N5" s="17">
        <f>B48*B59+C48*C59</f>
        <v>2524.8949361776231</v>
      </c>
      <c r="O5" s="17">
        <f>B69*B70*B71</f>
        <v>34.393333333333338</v>
      </c>
      <c r="P5" s="17">
        <f>B77*B78*B79/1000-B77*B78*B79/1000/B80</f>
        <v>19.066666666666666</v>
      </c>
    </row>
    <row r="6" spans="1:16">
      <c r="A6" s="16" t="s">
        <v>633</v>
      </c>
      <c r="B6" s="830">
        <f>kWh_PV_kleiner_dan_10kW</f>
        <v>556.79781085808349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34274.912800418489</v>
      </c>
      <c r="C8" s="21">
        <f>C5</f>
        <v>0</v>
      </c>
      <c r="D8" s="21">
        <f>D5</f>
        <v>48642.535556966279</v>
      </c>
      <c r="E8" s="21">
        <f>E5</f>
        <v>872.65666583040877</v>
      </c>
      <c r="F8" s="21">
        <f>F5</f>
        <v>0</v>
      </c>
      <c r="G8" s="21"/>
      <c r="H8" s="21"/>
      <c r="I8" s="21"/>
      <c r="J8" s="21">
        <f>J5</f>
        <v>0</v>
      </c>
      <c r="K8" s="21"/>
      <c r="L8" s="21">
        <f>L5</f>
        <v>0</v>
      </c>
      <c r="M8" s="21">
        <f>M5</f>
        <v>0</v>
      </c>
      <c r="N8" s="21">
        <f>N5</f>
        <v>2524.8949361776231</v>
      </c>
      <c r="O8" s="21">
        <f>O5</f>
        <v>34.393333333333338</v>
      </c>
      <c r="P8" s="21">
        <f>P5</f>
        <v>19.066666666666666</v>
      </c>
    </row>
    <row r="9" spans="1:16">
      <c r="B9" s="19"/>
      <c r="C9" s="19"/>
      <c r="D9" s="260"/>
      <c r="E9" s="19"/>
      <c r="F9" s="19"/>
      <c r="G9" s="19"/>
      <c r="H9" s="19"/>
      <c r="I9" s="19"/>
      <c r="J9" s="19"/>
      <c r="K9" s="19"/>
      <c r="L9" s="19"/>
      <c r="M9" s="19"/>
      <c r="N9" s="19"/>
      <c r="O9" s="19"/>
      <c r="P9" s="19"/>
    </row>
    <row r="10" spans="1:16">
      <c r="A10" s="24" t="s">
        <v>215</v>
      </c>
      <c r="B10" s="25">
        <f ca="1">'EF ele_warmte'!B12</f>
        <v>0.21887341215723249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7501.8671160191998</v>
      </c>
      <c r="C12" s="23">
        <f ca="1">C10*C8</f>
        <v>0</v>
      </c>
      <c r="D12" s="23">
        <f>D8*D10</f>
        <v>9825.792182507188</v>
      </c>
      <c r="E12" s="23">
        <f>E10*E8</f>
        <v>198.0930631435028</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2669</v>
      </c>
      <c r="C18" s="167" t="s">
        <v>111</v>
      </c>
      <c r="D18" s="229"/>
      <c r="E18" s="15"/>
    </row>
    <row r="19" spans="1:7">
      <c r="A19" s="172" t="s">
        <v>72</v>
      </c>
      <c r="B19" s="37">
        <f>aantalw2001_ander</f>
        <v>1</v>
      </c>
      <c r="C19" s="167" t="s">
        <v>111</v>
      </c>
      <c r="D19" s="230"/>
      <c r="E19" s="15"/>
    </row>
    <row r="20" spans="1:7">
      <c r="A20" s="172" t="s">
        <v>73</v>
      </c>
      <c r="B20" s="37">
        <f>aantalw2001_propaan</f>
        <v>41</v>
      </c>
      <c r="C20" s="168">
        <f>IF(ISERROR(B20/SUM($B$20,$B$21,$B$22)*100),0,B20/SUM($B$20,$B$21,$B$22)*100)</f>
        <v>3.8497652582159625</v>
      </c>
      <c r="D20" s="230"/>
      <c r="E20" s="15"/>
    </row>
    <row r="21" spans="1:7">
      <c r="A21" s="172" t="s">
        <v>74</v>
      </c>
      <c r="B21" s="37">
        <f>aantalw2001_elektriciteit</f>
        <v>983</v>
      </c>
      <c r="C21" s="168">
        <f>IF(ISERROR(B21/SUM($B$20,$B$21,$B$22)*100),0,B21/SUM($B$20,$B$21,$B$22)*100)</f>
        <v>92.300469483568065</v>
      </c>
      <c r="D21" s="230"/>
      <c r="E21" s="15"/>
    </row>
    <row r="22" spans="1:7">
      <c r="A22" s="172" t="s">
        <v>75</v>
      </c>
      <c r="B22" s="37">
        <f>aantalw2001_hout</f>
        <v>41</v>
      </c>
      <c r="C22" s="168">
        <f>IF(ISERROR(B22/SUM($B$20,$B$21,$B$22)*100),0,B22/SUM($B$20,$B$21,$B$22)*100)</f>
        <v>3.8497652582159625</v>
      </c>
      <c r="D22" s="230"/>
      <c r="E22" s="15"/>
    </row>
    <row r="23" spans="1:7">
      <c r="A23" s="172" t="s">
        <v>76</v>
      </c>
      <c r="B23" s="37">
        <f>aantalw2001_niet_gespec</f>
        <v>133</v>
      </c>
      <c r="C23" s="167" t="s">
        <v>111</v>
      </c>
      <c r="D23" s="229"/>
      <c r="E23" s="15"/>
    </row>
    <row r="24" spans="1:7">
      <c r="A24" s="172" t="s">
        <v>77</v>
      </c>
      <c r="B24" s="37">
        <f>aantalw2001_steenkool</f>
        <v>51</v>
      </c>
      <c r="C24" s="167" t="s">
        <v>111</v>
      </c>
      <c r="D24" s="230"/>
      <c r="E24" s="15"/>
    </row>
    <row r="25" spans="1:7">
      <c r="A25" s="172" t="s">
        <v>78</v>
      </c>
      <c r="B25" s="37">
        <f>aantalw2001_stookolie</f>
        <v>586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5596</v>
      </c>
      <c r="C28" s="36"/>
      <c r="D28" s="229"/>
    </row>
    <row r="29" spans="1:7" s="15" customFormat="1">
      <c r="A29" s="231" t="s">
        <v>714</v>
      </c>
      <c r="B29" s="37">
        <f>SUM(HH_hh_gas_aantal,HH_rest_gas_aantal)</f>
        <v>4493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4493</v>
      </c>
      <c r="C32" s="168">
        <f>IF(ISERROR(B32/SUM($B$32,$B$34,$B$35,$B$36,$B$38,$B$39)*100),0,B32/SUM($B$32,$B$34,$B$35,$B$36,$B$38,$B$39)*100)</f>
        <v>80.303842716711344</v>
      </c>
      <c r="D32" s="234"/>
      <c r="G32" s="15"/>
    </row>
    <row r="33" spans="1:7">
      <c r="A33" s="172" t="s">
        <v>72</v>
      </c>
      <c r="B33" s="34" t="s">
        <v>111</v>
      </c>
      <c r="C33" s="168"/>
      <c r="D33" s="234"/>
      <c r="G33" s="15"/>
    </row>
    <row r="34" spans="1:7">
      <c r="A34" s="172" t="s">
        <v>73</v>
      </c>
      <c r="B34" s="33">
        <f>IF((($B$28-$B$32-$B$39-$B$77-$B$38)*C20/100)&lt;0,0,($B$28-$B$32-$B$39-$B$77-$B$38)*C20/100)</f>
        <v>42.424413145539908</v>
      </c>
      <c r="C34" s="168">
        <f>IF(ISERROR(B34/SUM($B$32,$B$34,$B$35,$B$36,$B$38,$B$39)*100),0,B34/SUM($B$32,$B$34,$B$35,$B$36,$B$38,$B$39)*100)</f>
        <v>0.75825582029561944</v>
      </c>
      <c r="D34" s="234"/>
      <c r="G34" s="15"/>
    </row>
    <row r="35" spans="1:7">
      <c r="A35" s="172" t="s">
        <v>74</v>
      </c>
      <c r="B35" s="33">
        <f>IF((($B$28-$B$32-$B$39-$B$77-$B$38)*C21/100)&lt;0,0,($B$28-$B$32-$B$39-$B$77-$B$38)*C21/100)</f>
        <v>1017.1511737089201</v>
      </c>
      <c r="C35" s="168">
        <f>IF(ISERROR(B35/SUM($B$32,$B$34,$B$35,$B$36,$B$38,$B$39)*100),0,B35/SUM($B$32,$B$34,$B$35,$B$36,$B$38,$B$39)*100)</f>
        <v>18.179645642697409</v>
      </c>
      <c r="D35" s="234"/>
      <c r="G35" s="15"/>
    </row>
    <row r="36" spans="1:7">
      <c r="A36" s="172" t="s">
        <v>75</v>
      </c>
      <c r="B36" s="33">
        <f>IF((($B$28-$B$32-$B$39-$B$77-$B$38)*C22/100)&lt;0,0,($B$28-$B$32-$B$39-$B$77-$B$38)*C22/100)</f>
        <v>42.424413145539908</v>
      </c>
      <c r="C36" s="168">
        <f>IF(ISERROR(B36/SUM($B$32,$B$34,$B$35,$B$36,$B$38,$B$39)*100),0,B36/SUM($B$32,$B$34,$B$35,$B$36,$B$38,$B$39)*100)</f>
        <v>0.75825582029561944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4493</v>
      </c>
      <c r="C44" s="34" t="s">
        <v>111</v>
      </c>
      <c r="D44" s="175"/>
    </row>
    <row r="45" spans="1:7">
      <c r="A45" s="172" t="s">
        <v>72</v>
      </c>
      <c r="B45" s="33" t="str">
        <f t="shared" si="0"/>
        <v>-</v>
      </c>
      <c r="C45" s="34" t="s">
        <v>111</v>
      </c>
      <c r="D45" s="175"/>
    </row>
    <row r="46" spans="1:7">
      <c r="A46" s="172" t="s">
        <v>73</v>
      </c>
      <c r="B46" s="33">
        <f t="shared" si="0"/>
        <v>42.424413145539908</v>
      </c>
      <c r="C46" s="34" t="s">
        <v>111</v>
      </c>
      <c r="D46" s="175"/>
    </row>
    <row r="47" spans="1:7">
      <c r="A47" s="172" t="s">
        <v>74</v>
      </c>
      <c r="B47" s="33">
        <f t="shared" si="0"/>
        <v>1017.1511737089201</v>
      </c>
      <c r="C47" s="34" t="s">
        <v>111</v>
      </c>
      <c r="D47" s="175"/>
    </row>
    <row r="48" spans="1:7">
      <c r="A48" s="172" t="s">
        <v>75</v>
      </c>
      <c r="B48" s="33">
        <f t="shared" si="0"/>
        <v>42.424413145539908</v>
      </c>
      <c r="C48" s="33">
        <f>B48*10</f>
        <v>424.2441314553991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38739.312941045813</v>
      </c>
      <c r="C5" s="17">
        <f>IF(ISERROR('Eigen informatie GS &amp; warmtenet'!B58),0,'Eigen informatie GS &amp; warmtenet'!B58)</f>
        <v>0</v>
      </c>
      <c r="D5" s="30">
        <f>SUM(D6:D12)</f>
        <v>40925.358742118027</v>
      </c>
      <c r="E5" s="17">
        <f>SUM(E6:E12)</f>
        <v>1074.1751348757541</v>
      </c>
      <c r="F5" s="17">
        <f>SUM(F6:F12)</f>
        <v>6869.3135770690096</v>
      </c>
      <c r="G5" s="18"/>
      <c r="H5" s="17"/>
      <c r="I5" s="17"/>
      <c r="J5" s="17">
        <f>SUM(J6:J12)</f>
        <v>0</v>
      </c>
      <c r="K5" s="17"/>
      <c r="L5" s="17"/>
      <c r="M5" s="17"/>
      <c r="N5" s="17">
        <f>SUM(N6:N12)</f>
        <v>1013.9736522760836</v>
      </c>
      <c r="O5" s="17">
        <f>B38*B39*B40</f>
        <v>3.1266666666666669</v>
      </c>
      <c r="P5" s="17">
        <f>B46*B47*B48/1000-B46*B47*B48/1000/B49</f>
        <v>0</v>
      </c>
      <c r="R5" s="32"/>
    </row>
    <row r="6" spans="1:18">
      <c r="A6" s="32" t="s">
        <v>54</v>
      </c>
      <c r="B6" s="37">
        <f>B26</f>
        <v>13791.104154762199</v>
      </c>
      <c r="C6" s="33"/>
      <c r="D6" s="37">
        <f>IF(ISERROR(TER_kantoor_gas_kWh/1000),0,TER_kantoor_gas_kWh/1000)*0.902</f>
        <v>11261.648231213432</v>
      </c>
      <c r="E6" s="33">
        <f>$C$26*'E Balans VL '!I12/100/3.6*1000000</f>
        <v>482.7428961262421</v>
      </c>
      <c r="F6" s="33">
        <f>$C$26*('E Balans VL '!L12+'E Balans VL '!N12)/100/3.6*1000000</f>
        <v>2091.0274819667152</v>
      </c>
      <c r="G6" s="34"/>
      <c r="H6" s="33"/>
      <c r="I6" s="33"/>
      <c r="J6" s="33">
        <f>$C$26*('E Balans VL '!D12+'E Balans VL '!E12)/100/3.6*1000000</f>
        <v>0</v>
      </c>
      <c r="K6" s="33"/>
      <c r="L6" s="33"/>
      <c r="M6" s="33"/>
      <c r="N6" s="33">
        <f>$C$26*'E Balans VL '!Y12/100/3.6*1000000</f>
        <v>106.60091861950666</v>
      </c>
      <c r="O6" s="33"/>
      <c r="P6" s="33"/>
      <c r="R6" s="32"/>
    </row>
    <row r="7" spans="1:18">
      <c r="A7" s="32" t="s">
        <v>53</v>
      </c>
      <c r="B7" s="37">
        <f t="shared" ref="B7:B12" si="0">B27</f>
        <v>7423.7604545445902</v>
      </c>
      <c r="C7" s="33"/>
      <c r="D7" s="37">
        <f>IF(ISERROR(TER_horeca_gas_kWh/1000),0,TER_horeca_gas_kWh/1000)*0.902</f>
        <v>10908.370835231206</v>
      </c>
      <c r="E7" s="33">
        <f>$C$27*'E Balans VL '!I9/100/3.6*1000000</f>
        <v>418.79880160992138</v>
      </c>
      <c r="F7" s="33">
        <f>$C$27*('E Balans VL '!L9+'E Balans VL '!N9)/100/3.6*1000000</f>
        <v>1293.2601547995118</v>
      </c>
      <c r="G7" s="34"/>
      <c r="H7" s="33"/>
      <c r="I7" s="33"/>
      <c r="J7" s="33">
        <f>$C$27*('E Balans VL '!D9+'E Balans VL '!E9)/100/3.6*1000000</f>
        <v>0</v>
      </c>
      <c r="K7" s="33"/>
      <c r="L7" s="33"/>
      <c r="M7" s="33"/>
      <c r="N7" s="33">
        <f>$C$27*'E Balans VL '!Y9/100/3.6*1000000</f>
        <v>0</v>
      </c>
      <c r="O7" s="33"/>
      <c r="P7" s="33"/>
      <c r="R7" s="32"/>
    </row>
    <row r="8" spans="1:18">
      <c r="A8" s="6" t="s">
        <v>52</v>
      </c>
      <c r="B8" s="37">
        <f t="shared" si="0"/>
        <v>8705.7866344051399</v>
      </c>
      <c r="C8" s="33"/>
      <c r="D8" s="37">
        <f>IF(ISERROR(TER_handel_gas_kWh/1000),0,TER_handel_gas_kWh/1000)*0.902</f>
        <v>3308.2585171675096</v>
      </c>
      <c r="E8" s="33">
        <f>$C$28*'E Balans VL '!I13/100/3.6*1000000</f>
        <v>44.694624085942095</v>
      </c>
      <c r="F8" s="33">
        <f>$C$28*('E Balans VL '!L13+'E Balans VL '!N13)/100/3.6*1000000</f>
        <v>1342.2977808128737</v>
      </c>
      <c r="G8" s="34"/>
      <c r="H8" s="33"/>
      <c r="I8" s="33"/>
      <c r="J8" s="33">
        <f>$C$28*('E Balans VL '!D13+'E Balans VL '!E13)/100/3.6*1000000</f>
        <v>0</v>
      </c>
      <c r="K8" s="33"/>
      <c r="L8" s="33"/>
      <c r="M8" s="33"/>
      <c r="N8" s="33">
        <f>$C$28*'E Balans VL '!Y13/100/3.6*1000000</f>
        <v>4.0718026773412861</v>
      </c>
      <c r="O8" s="33"/>
      <c r="P8" s="33"/>
      <c r="R8" s="32"/>
    </row>
    <row r="9" spans="1:18">
      <c r="A9" s="32" t="s">
        <v>51</v>
      </c>
      <c r="B9" s="37">
        <f t="shared" si="0"/>
        <v>189.50841250768499</v>
      </c>
      <c r="C9" s="33"/>
      <c r="D9" s="37">
        <f>IF(ISERROR(TER_gezond_gas_kWh/1000),0,TER_gezond_gas_kWh/1000)*0.902</f>
        <v>334.37011300202983</v>
      </c>
      <c r="E9" s="33">
        <f>$C$29*'E Balans VL '!I10/100/3.6*1000000</f>
        <v>7.8549887353892026E-2</v>
      </c>
      <c r="F9" s="33">
        <f>$C$29*('E Balans VL '!L10+'E Balans VL '!N10)/100/3.6*1000000</f>
        <v>46.673204087458153</v>
      </c>
      <c r="G9" s="34"/>
      <c r="H9" s="33"/>
      <c r="I9" s="33"/>
      <c r="J9" s="33">
        <f>$C$29*('E Balans VL '!D10+'E Balans VL '!E10)/100/3.6*1000000</f>
        <v>0</v>
      </c>
      <c r="K9" s="33"/>
      <c r="L9" s="33"/>
      <c r="M9" s="33"/>
      <c r="N9" s="33">
        <f>$C$29*'E Balans VL '!Y10/100/3.6*1000000</f>
        <v>1.6378217410982394</v>
      </c>
      <c r="O9" s="33"/>
      <c r="P9" s="33"/>
      <c r="R9" s="32"/>
    </row>
    <row r="10" spans="1:18">
      <c r="A10" s="32" t="s">
        <v>50</v>
      </c>
      <c r="B10" s="37">
        <f t="shared" si="0"/>
        <v>3290.8795245682099</v>
      </c>
      <c r="C10" s="33"/>
      <c r="D10" s="37">
        <f>IF(ISERROR(TER_ander_gas_kWh/1000),0,TER_ander_gas_kWh/1000)*0.902</f>
        <v>2530.2996742819273</v>
      </c>
      <c r="E10" s="33">
        <f>$C$30*'E Balans VL '!I14/100/3.6*1000000</f>
        <v>20.061282776642667</v>
      </c>
      <c r="F10" s="33">
        <f>$C$30*('E Balans VL '!L14+'E Balans VL '!N14)/100/3.6*1000000</f>
        <v>872.45724189887983</v>
      </c>
      <c r="G10" s="34"/>
      <c r="H10" s="33"/>
      <c r="I10" s="33"/>
      <c r="J10" s="33">
        <f>$C$30*('E Balans VL '!D14+'E Balans VL '!E14)/100/3.6*1000000</f>
        <v>0</v>
      </c>
      <c r="K10" s="33"/>
      <c r="L10" s="33"/>
      <c r="M10" s="33"/>
      <c r="N10" s="33">
        <f>$C$30*'E Balans VL '!Y14/100/3.6*1000000</f>
        <v>758.47661974049186</v>
      </c>
      <c r="O10" s="33"/>
      <c r="P10" s="33"/>
      <c r="R10" s="32"/>
    </row>
    <row r="11" spans="1:18">
      <c r="A11" s="32" t="s">
        <v>55</v>
      </c>
      <c r="B11" s="37">
        <f t="shared" si="0"/>
        <v>323.483828057371</v>
      </c>
      <c r="C11" s="33"/>
      <c r="D11" s="37">
        <f>IF(ISERROR(TER_onderwijs_gas_kWh/1000),0,TER_onderwijs_gas_kWh/1000)*0.902</f>
        <v>1525.6330610126702</v>
      </c>
      <c r="E11" s="33">
        <f>$C$31*'E Balans VL '!I11/100/3.6*1000000</f>
        <v>0.24651152096058906</v>
      </c>
      <c r="F11" s="33">
        <f>$C$31*('E Balans VL '!L11+'E Balans VL '!N11)/100/3.6*1000000</f>
        <v>234.09062563370023</v>
      </c>
      <c r="G11" s="34"/>
      <c r="H11" s="33"/>
      <c r="I11" s="33"/>
      <c r="J11" s="33">
        <f>$C$31*('E Balans VL '!D11+'E Balans VL '!E11)/100/3.6*1000000</f>
        <v>0</v>
      </c>
      <c r="K11" s="33"/>
      <c r="L11" s="33"/>
      <c r="M11" s="33"/>
      <c r="N11" s="33">
        <f>$C$31*'E Balans VL '!Y11/100/3.6*1000000</f>
        <v>0.95338415251121544</v>
      </c>
      <c r="O11" s="33"/>
      <c r="P11" s="33"/>
      <c r="R11" s="32"/>
    </row>
    <row r="12" spans="1:18">
      <c r="A12" s="32" t="s">
        <v>261</v>
      </c>
      <c r="B12" s="37">
        <f t="shared" si="0"/>
        <v>5014.7899322006197</v>
      </c>
      <c r="C12" s="33"/>
      <c r="D12" s="37">
        <f>IF(ISERROR(TER_rest_gas_kWh/1000),0,TER_rest_gas_kWh/1000)*0.902</f>
        <v>11056.778310209249</v>
      </c>
      <c r="E12" s="33">
        <f>$C$32*'E Balans VL '!I8/100/3.6*1000000</f>
        <v>107.55246886869129</v>
      </c>
      <c r="F12" s="33">
        <f>$C$32*('E Balans VL '!L8+'E Balans VL '!N8)/100/3.6*1000000</f>
        <v>989.50708786986934</v>
      </c>
      <c r="G12" s="34"/>
      <c r="H12" s="33"/>
      <c r="I12" s="33"/>
      <c r="J12" s="33">
        <f>$C$32*('E Balans VL '!D8+'E Balans VL '!E8)/100/3.6*1000000</f>
        <v>0</v>
      </c>
      <c r="K12" s="33"/>
      <c r="L12" s="33"/>
      <c r="M12" s="33"/>
      <c r="N12" s="33">
        <f>$C$32*'E Balans VL '!Y8/100/3.6*1000000</f>
        <v>142.23310534513425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38739.312941045813</v>
      </c>
      <c r="C16" s="21">
        <f ca="1">C5+C13+C14</f>
        <v>0</v>
      </c>
      <c r="D16" s="21">
        <f t="shared" ref="D16:N16" ca="1" si="1">MAX((D5+D13+D14),0)</f>
        <v>40925.358742118027</v>
      </c>
      <c r="E16" s="21">
        <f t="shared" si="1"/>
        <v>1074.1751348757541</v>
      </c>
      <c r="F16" s="21">
        <f t="shared" ca="1" si="1"/>
        <v>6869.3135770690096</v>
      </c>
      <c r="G16" s="21">
        <f t="shared" si="1"/>
        <v>0</v>
      </c>
      <c r="H16" s="21">
        <f t="shared" si="1"/>
        <v>0</v>
      </c>
      <c r="I16" s="21">
        <f t="shared" si="1"/>
        <v>0</v>
      </c>
      <c r="J16" s="21">
        <f t="shared" si="1"/>
        <v>0</v>
      </c>
      <c r="K16" s="21">
        <f t="shared" si="1"/>
        <v>0</v>
      </c>
      <c r="L16" s="21">
        <f t="shared" ca="1" si="1"/>
        <v>0</v>
      </c>
      <c r="M16" s="21">
        <f t="shared" si="1"/>
        <v>0</v>
      </c>
      <c r="N16" s="21">
        <f t="shared" ca="1" si="1"/>
        <v>1013.9736522760836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0.21887341215723249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8479.0056080335307</v>
      </c>
      <c r="C20" s="23">
        <f t="shared" ref="C20:P20" ca="1" si="2">C16*C18</f>
        <v>0</v>
      </c>
      <c r="D20" s="23">
        <f t="shared" ca="1" si="2"/>
        <v>8266.9224659078427</v>
      </c>
      <c r="E20" s="23">
        <f t="shared" si="2"/>
        <v>243.83775561679619</v>
      </c>
      <c r="F20" s="23">
        <f t="shared" ca="1" si="2"/>
        <v>1834.1067250774256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13791.104154762199</v>
      </c>
      <c r="C26" s="39">
        <f>IF(ISERROR(B26*3.6/1000000/'E Balans VL '!Z12*100),0,B26*3.6/1000000/'E Balans VL '!Z12*100)</f>
        <v>0.29021091611227201</v>
      </c>
      <c r="D26" s="238" t="s">
        <v>720</v>
      </c>
      <c r="F26" s="6"/>
    </row>
    <row r="27" spans="1:18">
      <c r="A27" s="232" t="s">
        <v>53</v>
      </c>
      <c r="B27" s="33">
        <f>IF(ISERROR(TER_horeca_ele_kWh/1000),0,TER_horeca_ele_kWh/1000)</f>
        <v>7423.7604545445902</v>
      </c>
      <c r="C27" s="39">
        <f>IF(ISERROR(B27*3.6/1000000/'E Balans VL '!Z9*100),0,B27*3.6/1000000/'E Balans VL '!Z9*100)</f>
        <v>0.62854893711259519</v>
      </c>
      <c r="D27" s="238" t="s">
        <v>720</v>
      </c>
      <c r="F27" s="6"/>
    </row>
    <row r="28" spans="1:18">
      <c r="A28" s="172" t="s">
        <v>52</v>
      </c>
      <c r="B28" s="33">
        <f>IF(ISERROR(TER_handel_ele_kWh/1000),0,TER_handel_ele_kWh/1000)</f>
        <v>8705.7866344051399</v>
      </c>
      <c r="C28" s="39">
        <f>IF(ISERROR(B28*3.6/1000000/'E Balans VL '!Z13*100),0,B28*3.6/1000000/'E Balans VL '!Z13*100)</f>
        <v>0.24101849914563836</v>
      </c>
      <c r="D28" s="238" t="s">
        <v>720</v>
      </c>
      <c r="F28" s="6"/>
    </row>
    <row r="29" spans="1:18">
      <c r="A29" s="232" t="s">
        <v>51</v>
      </c>
      <c r="B29" s="33">
        <f>IF(ISERROR(TER_gezond_ele_kWh/1000),0,TER_gezond_ele_kWh/1000)</f>
        <v>189.50841250768499</v>
      </c>
      <c r="C29" s="39">
        <f>IF(ISERROR(B29*3.6/1000000/'E Balans VL '!Z10*100),0,B29*3.6/1000000/'E Balans VL '!Z10*100)</f>
        <v>2.4633992680297735E-2</v>
      </c>
      <c r="D29" s="238" t="s">
        <v>720</v>
      </c>
      <c r="F29" s="6"/>
    </row>
    <row r="30" spans="1:18">
      <c r="A30" s="232" t="s">
        <v>50</v>
      </c>
      <c r="B30" s="33">
        <f>IF(ISERROR(TER_ander_ele_kWh/1000),0,TER_ander_ele_kWh/1000)</f>
        <v>3290.8795245682099</v>
      </c>
      <c r="C30" s="39">
        <f>IF(ISERROR(B30*3.6/1000000/'E Balans VL '!Z14*100),0,B30*3.6/1000000/'E Balans VL '!Z14*100)</f>
        <v>0.25507334282473237</v>
      </c>
      <c r="D30" s="238" t="s">
        <v>720</v>
      </c>
      <c r="F30" s="6"/>
    </row>
    <row r="31" spans="1:18">
      <c r="A31" s="232" t="s">
        <v>55</v>
      </c>
      <c r="B31" s="33">
        <f>IF(ISERROR(TER_onderwijs_ele_kWh/1000),0,TER_onderwijs_ele_kWh/1000)</f>
        <v>323.483828057371</v>
      </c>
      <c r="C31" s="39">
        <f>IF(ISERROR(B31*3.6/1000000/'E Balans VL '!Z11*100),0,B31*3.6/1000000/'E Balans VL '!Z11*100)</f>
        <v>6.1887968355158418E-2</v>
      </c>
      <c r="D31" s="238" t="s">
        <v>720</v>
      </c>
    </row>
    <row r="32" spans="1:18">
      <c r="A32" s="232" t="s">
        <v>261</v>
      </c>
      <c r="B32" s="33">
        <f>IF(ISERROR(TER_rest_ele_kWh/1000),0,TER_rest_ele_kWh/1000)</f>
        <v>5014.7899322006197</v>
      </c>
      <c r="C32" s="39">
        <f>IF(ISERROR(B32*3.6/1000000/'E Balans VL '!Z8*100),0,B32*3.6/1000000/'E Balans VL '!Z8*100)</f>
        <v>4.1350793926229444E-2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5324.0075333629457</v>
      </c>
      <c r="C5" s="17">
        <f>IF(ISERROR('Eigen informatie GS &amp; warmtenet'!B59),0,'Eigen informatie GS &amp; warmtenet'!B59)</f>
        <v>0</v>
      </c>
      <c r="D5" s="30">
        <f>SUM(D6:D15)</f>
        <v>3653.3091245522592</v>
      </c>
      <c r="E5" s="17">
        <f>SUM(E6:E15)</f>
        <v>64.408675239974656</v>
      </c>
      <c r="F5" s="17">
        <f>SUM(F6:F15)</f>
        <v>1837.8889355368576</v>
      </c>
      <c r="G5" s="18"/>
      <c r="H5" s="17"/>
      <c r="I5" s="17"/>
      <c r="J5" s="17">
        <f>SUM(J6:J15)</f>
        <v>21.372434723959987</v>
      </c>
      <c r="K5" s="17"/>
      <c r="L5" s="17"/>
      <c r="M5" s="17"/>
      <c r="N5" s="17">
        <f>SUM(N6:N15)</f>
        <v>167.57789320532316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150.945341169345</v>
      </c>
      <c r="C8" s="33"/>
      <c r="D8" s="37">
        <f>IF( ISERROR(IND_metaal_Gas_kWH/1000),0,IND_metaal_Gas_kWH/1000)*0.902</f>
        <v>116.99394054178224</v>
      </c>
      <c r="E8" s="33">
        <f>C30*'E Balans VL '!I18/100/3.6*1000000</f>
        <v>1.0606596078181627</v>
      </c>
      <c r="F8" s="33">
        <f>C30*'E Balans VL '!L18/100/3.6*1000000+C30*'E Balans VL '!N18/100/3.6*1000000</f>
        <v>16.572915343224309</v>
      </c>
      <c r="G8" s="34"/>
      <c r="H8" s="33"/>
      <c r="I8" s="33"/>
      <c r="J8" s="40">
        <f>C30*'E Balans VL '!D18/100/3.6*1000000+C30*'E Balans VL '!E18/100/3.6*1000000</f>
        <v>3.1143277346700273</v>
      </c>
      <c r="K8" s="33"/>
      <c r="L8" s="33"/>
      <c r="M8" s="33"/>
      <c r="N8" s="33">
        <f>C30*'E Balans VL '!Y18/100/3.6*1000000</f>
        <v>0.56575400977451573</v>
      </c>
      <c r="O8" s="33"/>
      <c r="P8" s="33"/>
      <c r="R8" s="32"/>
    </row>
    <row r="9" spans="1:18">
      <c r="A9" s="6" t="s">
        <v>33</v>
      </c>
      <c r="B9" s="37">
        <f t="shared" si="0"/>
        <v>1538.27757687497</v>
      </c>
      <c r="C9" s="33"/>
      <c r="D9" s="37">
        <f>IF( ISERROR(IND_andere_gas_kWh/1000),0,IND_andere_gas_kWh/1000)*0.902</f>
        <v>510.94757089940532</v>
      </c>
      <c r="E9" s="33">
        <f>C31*'E Balans VL '!I19/100/3.6*1000000</f>
        <v>25.837256353813942</v>
      </c>
      <c r="F9" s="33">
        <f>C31*'E Balans VL '!L19/100/3.6*1000000+C31*'E Balans VL '!N19/100/3.6*1000000</f>
        <v>1202.5377958519794</v>
      </c>
      <c r="G9" s="34"/>
      <c r="H9" s="33"/>
      <c r="I9" s="33"/>
      <c r="J9" s="40">
        <f>C31*'E Balans VL '!D19/100/3.6*1000000+C31*'E Balans VL '!E19/100/3.6*1000000</f>
        <v>0.13873905846584708</v>
      </c>
      <c r="K9" s="33"/>
      <c r="L9" s="33"/>
      <c r="M9" s="33"/>
      <c r="N9" s="33">
        <f>C31*'E Balans VL '!Y19/100/3.6*1000000</f>
        <v>114.01104793744129</v>
      </c>
      <c r="O9" s="33"/>
      <c r="P9" s="33"/>
      <c r="R9" s="32"/>
    </row>
    <row r="10" spans="1:18">
      <c r="A10" s="6" t="s">
        <v>41</v>
      </c>
      <c r="B10" s="37">
        <f t="shared" si="0"/>
        <v>2241.1643467182698</v>
      </c>
      <c r="C10" s="33"/>
      <c r="D10" s="37">
        <f>IF( ISERROR(IND_voed_gas_kWh/1000),0,IND_voed_gas_kWh/1000)*0.902</f>
        <v>931.98834468919347</v>
      </c>
      <c r="E10" s="33">
        <f>C32*'E Balans VL '!I20/100/3.6*1000000</f>
        <v>20.447452183657994</v>
      </c>
      <c r="F10" s="33">
        <f>C32*'E Balans VL '!L20/100/3.6*1000000+C32*'E Balans VL '!N20/100/3.6*1000000</f>
        <v>361.56990864405572</v>
      </c>
      <c r="G10" s="34"/>
      <c r="H10" s="33"/>
      <c r="I10" s="33"/>
      <c r="J10" s="40">
        <f>C32*'E Balans VL '!D20/100/3.6*1000000+C32*'E Balans VL '!E20/100/3.6*1000000</f>
        <v>9.2305841582569279</v>
      </c>
      <c r="K10" s="33"/>
      <c r="L10" s="33"/>
      <c r="M10" s="33"/>
      <c r="N10" s="33">
        <f>C32*'E Balans VL '!Y20/100/3.6*1000000</f>
        <v>32.786467184802326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233.295419673411</v>
      </c>
      <c r="C12" s="33"/>
      <c r="D12" s="37">
        <f>IF( ISERROR(IND_min_gas_kWh/1000),0,IND_min_gas_kWh/1000)*0.902</f>
        <v>0</v>
      </c>
      <c r="E12" s="33">
        <f>C34*'E Balans VL '!I22/100/3.6*1000000</f>
        <v>5.7864848625818475</v>
      </c>
      <c r="F12" s="33">
        <f>C34*'E Balans VL '!L22/100/3.6*1000000+C34*'E Balans VL '!N22/100/3.6*1000000</f>
        <v>24.789872143070845</v>
      </c>
      <c r="G12" s="34"/>
      <c r="H12" s="33"/>
      <c r="I12" s="33"/>
      <c r="J12" s="40">
        <f>C34*'E Balans VL '!D22/100/3.6*1000000+C34*'E Balans VL '!E22/100/3.6*1000000</f>
        <v>1.3252548726791726</v>
      </c>
      <c r="K12" s="33"/>
      <c r="L12" s="33"/>
      <c r="M12" s="33"/>
      <c r="N12" s="33">
        <f>C34*'E Balans VL '!Y22/100/3.6*1000000</f>
        <v>0</v>
      </c>
      <c r="O12" s="33"/>
      <c r="P12" s="33"/>
      <c r="R12" s="32"/>
    </row>
    <row r="13" spans="1:18">
      <c r="A13" s="6" t="s">
        <v>39</v>
      </c>
      <c r="B13" s="37">
        <f t="shared" si="0"/>
        <v>37.031628921489798</v>
      </c>
      <c r="C13" s="33"/>
      <c r="D13" s="37">
        <f>IF( ISERROR(IND_papier_gas_kWh/1000),0,IND_papier_gas_kWh/1000)*0.902</f>
        <v>92.061701956502588</v>
      </c>
      <c r="E13" s="33">
        <f>C35*'E Balans VL '!I23/100/3.6*1000000</f>
        <v>1.1393665779701074</v>
      </c>
      <c r="F13" s="33">
        <f>C35*'E Balans VL '!L23/100/3.6*1000000+C35*'E Balans VL '!N23/100/3.6*1000000</f>
        <v>7.8631089989999063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1123.2932200054602</v>
      </c>
      <c r="C15" s="33"/>
      <c r="D15" s="37">
        <f>IF( ISERROR(IND_rest_gas_kWh/1000),0,IND_rest_gas_kWh/1000)*0.902</f>
        <v>2001.3175664653756</v>
      </c>
      <c r="E15" s="33">
        <f>C37*'E Balans VL '!I15/100/3.6*1000000</f>
        <v>10.137455654132616</v>
      </c>
      <c r="F15" s="33">
        <f>C37*'E Balans VL '!L15/100/3.6*1000000+C37*'E Balans VL '!N15/100/3.6*1000000</f>
        <v>224.55533455552739</v>
      </c>
      <c r="G15" s="34"/>
      <c r="H15" s="33"/>
      <c r="I15" s="33"/>
      <c r="J15" s="40">
        <f>C37*'E Balans VL '!D15/100/3.6*1000000+C37*'E Balans VL '!E15/100/3.6*1000000</f>
        <v>7.5635288998880128</v>
      </c>
      <c r="K15" s="33"/>
      <c r="L15" s="33"/>
      <c r="M15" s="33"/>
      <c r="N15" s="33">
        <f>C37*'E Balans VL '!Y15/100/3.6*1000000</f>
        <v>20.214624073305043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5324.0075333629457</v>
      </c>
      <c r="C18" s="21">
        <f>C5+C16</f>
        <v>0</v>
      </c>
      <c r="D18" s="21">
        <f>MAX((D5+D16),0)</f>
        <v>3653.3091245522592</v>
      </c>
      <c r="E18" s="21">
        <f>MAX((E5+E16),0)</f>
        <v>64.408675239974656</v>
      </c>
      <c r="F18" s="21">
        <f>MAX((F5+F16),0)</f>
        <v>1837.8889355368576</v>
      </c>
      <c r="G18" s="21"/>
      <c r="H18" s="21"/>
      <c r="I18" s="21"/>
      <c r="J18" s="21">
        <f>MAX((J5+J16),0)</f>
        <v>21.372434723959987</v>
      </c>
      <c r="K18" s="21"/>
      <c r="L18" s="21">
        <f>MAX((L5+L16),0)</f>
        <v>0</v>
      </c>
      <c r="M18" s="21"/>
      <c r="N18" s="21">
        <f>MAX((N5+N16),0)</f>
        <v>167.57789320532316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0.21887341215723249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1165.2836951779586</v>
      </c>
      <c r="C22" s="23">
        <f ca="1">C18*C20</f>
        <v>0</v>
      </c>
      <c r="D22" s="23">
        <f>D18*D20</f>
        <v>737.96844315955639</v>
      </c>
      <c r="E22" s="23">
        <f>E18*E20</f>
        <v>14.620769279474247</v>
      </c>
      <c r="F22" s="23">
        <f>F18*F20</f>
        <v>490.71634578834102</v>
      </c>
      <c r="G22" s="23"/>
      <c r="H22" s="23"/>
      <c r="I22" s="23"/>
      <c r="J22" s="23">
        <f>J18*J20</f>
        <v>7.5658418922818349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150.945341169345</v>
      </c>
      <c r="C30" s="39">
        <f>IF(ISERROR(B30*3.6/1000000/'E Balans VL '!Z18*100),0,B30*3.6/1000000/'E Balans VL '!Z18*100)</f>
        <v>1.0048523536592713E-2</v>
      </c>
      <c r="D30" s="238" t="s">
        <v>720</v>
      </c>
    </row>
    <row r="31" spans="1:18">
      <c r="A31" s="6" t="s">
        <v>33</v>
      </c>
      <c r="B31" s="37">
        <f>IF( ISERROR(IND_ander_ele_kWh/1000),0,IND_ander_ele_kWh/1000)</f>
        <v>1538.27757687497</v>
      </c>
      <c r="C31" s="39">
        <f>IF(ISERROR(B31*3.6/1000000/'E Balans VL '!Z19*100),0,B31*3.6/1000000/'E Balans VL '!Z19*100)</f>
        <v>6.8185748870586968E-2</v>
      </c>
      <c r="D31" s="238" t="s">
        <v>720</v>
      </c>
    </row>
    <row r="32" spans="1:18">
      <c r="A32" s="172" t="s">
        <v>41</v>
      </c>
      <c r="B32" s="37">
        <f>IF( ISERROR(IND_voed_ele_kWh/1000),0,IND_voed_ele_kWh/1000)</f>
        <v>2241.1643467182698</v>
      </c>
      <c r="C32" s="39">
        <f>IF(ISERROR(B32*3.6/1000000/'E Balans VL '!Z20*100),0,B32*3.6/1000000/'E Balans VL '!Z20*100)</f>
        <v>7.486131824881688E-2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233.295419673411</v>
      </c>
      <c r="C34" s="39">
        <f>IF(ISERROR(B34*3.6/1000000/'E Balans VL '!Z22*100),0,B34*3.6/1000000/'E Balans VL '!Z22*100)</f>
        <v>4.5373396521960582E-2</v>
      </c>
      <c r="D34" s="238" t="s">
        <v>720</v>
      </c>
    </row>
    <row r="35" spans="1:5">
      <c r="A35" s="172" t="s">
        <v>39</v>
      </c>
      <c r="B35" s="37">
        <f>IF( ISERROR(IND_papier_ele_kWh/1000),0,IND_papier_ele_kWh/1000)</f>
        <v>37.031628921489798</v>
      </c>
      <c r="C35" s="39">
        <f>IF(ISERROR(B35*3.6/1000000/'E Balans VL '!Z22*100),0,B35*3.6/1000000/'E Balans VL '!Z22*100)</f>
        <v>7.2022450559082298E-3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1123.2932200054602</v>
      </c>
      <c r="C37" s="39">
        <f>IF(ISERROR(B37*3.6/1000000/'E Balans VL '!Z15*100),0,B37*3.6/1000000/'E Balans VL '!Z15*100)</f>
        <v>8.355471555648317E-3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1256.9526101618183</v>
      </c>
      <c r="C5" s="17">
        <f>'Eigen informatie GS &amp; warmtenet'!B60</f>
        <v>0</v>
      </c>
      <c r="D5" s="30">
        <f>IF(ISERROR(SUM(LB_lb_gas_kWh,LB_rest_gas_kWh,onbekend_gas_kWh)/1000),0,SUM(LB_lb_gas_kWh,LB_rest_gas_kWh,onbekend_gas_kWh)/1000)*0.902</f>
        <v>3092.8185356915742</v>
      </c>
      <c r="E5" s="17">
        <f>B17*'E Balans VL '!I25/3.6*1000000/100</f>
        <v>13.163079852757702</v>
      </c>
      <c r="F5" s="17">
        <f>B17*('E Balans VL '!L25/3.6*1000000+'E Balans VL '!N25/3.6*1000000)/100</f>
        <v>6455.9087431497373</v>
      </c>
      <c r="G5" s="18"/>
      <c r="H5" s="17"/>
      <c r="I5" s="17"/>
      <c r="J5" s="17">
        <f>('E Balans VL '!D25+'E Balans VL '!E25)/3.6*1000000*landbouw!B17/100</f>
        <v>112.25713434589377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1256.9526101618183</v>
      </c>
      <c r="C8" s="21">
        <f>C5+C6</f>
        <v>0</v>
      </c>
      <c r="D8" s="21">
        <f>MAX((D5+D6),0)</f>
        <v>3092.8185356915742</v>
      </c>
      <c r="E8" s="21">
        <f>MAX((E5+E6),0)</f>
        <v>13.163079852757702</v>
      </c>
      <c r="F8" s="21">
        <f>MAX((F5+F6),0)</f>
        <v>6455.9087431497373</v>
      </c>
      <c r="G8" s="21"/>
      <c r="H8" s="21"/>
      <c r="I8" s="21"/>
      <c r="J8" s="21">
        <f>MAX((J5+J6),0)</f>
        <v>112.25713434589377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0.21887341215723249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275.11350670605685</v>
      </c>
      <c r="C12" s="23">
        <f ca="1">C8*C10</f>
        <v>0</v>
      </c>
      <c r="D12" s="23">
        <f>D8*D10</f>
        <v>624.74934420969805</v>
      </c>
      <c r="E12" s="23">
        <f>E8*E10</f>
        <v>2.9880191265759986</v>
      </c>
      <c r="F12" s="23">
        <f>F8*F10</f>
        <v>1723.7276344209799</v>
      </c>
      <c r="G12" s="23"/>
      <c r="H12" s="23"/>
      <c r="I12" s="23"/>
      <c r="J12" s="23">
        <f>J8*J10</f>
        <v>39.739025558446393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0.19346927037316811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265.20589452021608</v>
      </c>
      <c r="C26" s="248">
        <f>B26*'GWP N2O_CH4'!B5</f>
        <v>5569.3237849245379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97.245710747593805</v>
      </c>
      <c r="C27" s="248">
        <f>B27*'GWP N2O_CH4'!B5</f>
        <v>2042.1599256994698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3.662406951216187</v>
      </c>
      <c r="C28" s="248">
        <f>B28*'GWP N2O_CH4'!B4</f>
        <v>1135.3461548770179</v>
      </c>
      <c r="D28" s="50"/>
    </row>
    <row r="29" spans="1:4">
      <c r="A29" s="41" t="s">
        <v>278</v>
      </c>
      <c r="B29" s="248">
        <f>B34*'ha_N2O bodem landbouw'!B4</f>
        <v>17.544271613327226</v>
      </c>
      <c r="C29" s="248">
        <f>B29*'GWP N2O_CH4'!B4</f>
        <v>5438.7242001314398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2.8994213052451275E-3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2.2977119069475349E-6</v>
      </c>
      <c r="C5" s="446" t="s">
        <v>212</v>
      </c>
      <c r="D5" s="431">
        <f>SUM(D6:D11)</f>
        <v>1.0404395747874203E-5</v>
      </c>
      <c r="E5" s="431">
        <f>SUM(E6:E11)</f>
        <v>1.2275643416433198E-3</v>
      </c>
      <c r="F5" s="444" t="s">
        <v>212</v>
      </c>
      <c r="G5" s="431">
        <f>SUM(G6:G11)</f>
        <v>0.28122602200906405</v>
      </c>
      <c r="H5" s="431">
        <f>SUM(H6:H11)</f>
        <v>3.6074649215481223E-2</v>
      </c>
      <c r="I5" s="446" t="s">
        <v>212</v>
      </c>
      <c r="J5" s="446" t="s">
        <v>212</v>
      </c>
      <c r="K5" s="446" t="s">
        <v>212</v>
      </c>
      <c r="L5" s="446" t="s">
        <v>212</v>
      </c>
      <c r="M5" s="431">
        <f>SUM(M6:M11)</f>
        <v>1.3812979986277299E-2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9.1947232092668656E-7</v>
      </c>
      <c r="C6" s="432"/>
      <c r="D6" s="432">
        <f>vkm_2011_GW_PW*SUMIFS(TableVerdeelsleutelVkm[CNG],TableVerdeelsleutelVkm[Voertuigtype],"Lichte voertuigen")*SUMIFS(TableECFTransport[EnergieConsumptieFactor (PJ per km)],TableECFTransport[Index],CONCATENATE($A6,"_CNG_CNG"))</f>
        <v>3.963738296170367E-6</v>
      </c>
      <c r="E6" s="434">
        <f>vkm_2011_GW_PW*SUMIFS(TableVerdeelsleutelVkm[LPG],TableVerdeelsleutelVkm[Voertuigtype],"Lichte voertuigen")*SUMIFS(TableECFTransport[EnergieConsumptieFactor (PJ per km)],TableECFTransport[Index],CONCATENATE($A6,"_LPG_LPG"))</f>
        <v>4.1240264872879315E-4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5.072665795392587E-2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1.3355277829717717E-2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2.8083776466127667E-3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3.3403332086193109E-2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1.1453539680762219E-5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1.4429613591324655E-3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8.7193340115876841E-8</v>
      </c>
      <c r="C8" s="432"/>
      <c r="D8" s="434">
        <f>vkm_2011_NGW_PW*SUMIFS(TableVerdeelsleutelVkm[CNG],TableVerdeelsleutelVkm[Voertuigtype],"Lichte voertuigen")*SUMIFS(TableECFTransport[EnergieConsumptieFactor (PJ per km)],TableECFTransport[Index],CONCATENATE($A8,"_CNG_CNG"))</f>
        <v>6.7433851020840768E-7</v>
      </c>
      <c r="E8" s="434">
        <f>vkm_2011_NGW_PW*SUMIFS(TableVerdeelsleutelVkm[LPG],TableVerdeelsleutelVkm[Voertuigtype],"Lichte voertuigen")*SUMIFS(TableECFTransport[EnergieConsumptieFactor (PJ per km)],TableECFTransport[Index],CONCATENATE($A8,"_LPG_LPG"))</f>
        <v>6.4061999889439633E-5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7.4738126392168815E-3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2.1688668009070674E-3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4.2307938831135652E-4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6.0407595239634476E-4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1.7993835649185509E-7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2.6093691305863112E-5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1.2910462459049712E-6</v>
      </c>
      <c r="C10" s="432"/>
      <c r="D10" s="434">
        <f>vkm_2011_SW_PW*SUMIFS(TableVerdeelsleutelVkm[CNG],TableVerdeelsleutelVkm[Voertuigtype],"Lichte voertuigen")*SUMIFS(TableECFTransport[EnergieConsumptieFactor (PJ per km)],TableECFTransport[Index],CONCATENATE($A10,"_CNG_CNG"))</f>
        <v>5.7663189414954289E-6</v>
      </c>
      <c r="E10" s="434">
        <f>vkm_2011_SW_PW*SUMIFS(TableVerdeelsleutelVkm[LPG],TableVerdeelsleutelVkm[Voertuigtype],"Lichte voertuigen")*SUMIFS(TableECFTransport[EnergieConsumptieFactor (PJ per km)],TableECFTransport[Index],CONCATENATE($A10,"_LPG_LPG"))</f>
        <v>7.5109969302508694E-4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8.4935405156798663E-2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2.050079289641429E-2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4.6161780677027057E-3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0.10408273822053317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3.8078210404890109E-5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4.4962898332121413E-3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0.6382533074854263</v>
      </c>
      <c r="C14" s="21"/>
      <c r="D14" s="21">
        <f t="shared" ref="D14:M14" si="0">((D5)*10^9/3600)+D12</f>
        <v>2.8901099299650563</v>
      </c>
      <c r="E14" s="21">
        <f t="shared" si="0"/>
        <v>340.99009490092214</v>
      </c>
      <c r="F14" s="21"/>
      <c r="G14" s="21">
        <f t="shared" si="0"/>
        <v>78118.339446962229</v>
      </c>
      <c r="H14" s="21">
        <f t="shared" si="0"/>
        <v>10020.735893189229</v>
      </c>
      <c r="I14" s="21"/>
      <c r="J14" s="21"/>
      <c r="K14" s="21"/>
      <c r="L14" s="21"/>
      <c r="M14" s="21">
        <f t="shared" si="0"/>
        <v>3836.9388850770274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0.21887341215723249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0.13969667922997456</v>
      </c>
      <c r="C18" s="23"/>
      <c r="D18" s="23">
        <f t="shared" ref="D18:M18" si="1">D14*D16</f>
        <v>0.5838022058529414</v>
      </c>
      <c r="E18" s="23">
        <f t="shared" si="1"/>
        <v>77.404751542509331</v>
      </c>
      <c r="F18" s="23"/>
      <c r="G18" s="23">
        <f t="shared" si="1"/>
        <v>20857.596632338915</v>
      </c>
      <c r="H18" s="23">
        <f t="shared" si="1"/>
        <v>2495.1632374041178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2.9004070148537166E-3</v>
      </c>
      <c r="C50" s="322">
        <f t="shared" ref="C50:P50" si="2">SUM(C51:C52)</f>
        <v>0</v>
      </c>
      <c r="D50" s="322">
        <f t="shared" si="2"/>
        <v>0</v>
      </c>
      <c r="E50" s="322">
        <f t="shared" si="2"/>
        <v>0</v>
      </c>
      <c r="F50" s="322">
        <f t="shared" si="2"/>
        <v>0</v>
      </c>
      <c r="G50" s="322">
        <f t="shared" si="2"/>
        <v>2.6932519034666728E-3</v>
      </c>
      <c r="H50" s="322">
        <f t="shared" si="2"/>
        <v>0</v>
      </c>
      <c r="I50" s="322">
        <f t="shared" si="2"/>
        <v>0</v>
      </c>
      <c r="J50" s="322">
        <f t="shared" si="2"/>
        <v>0</v>
      </c>
      <c r="K50" s="322">
        <f t="shared" si="2"/>
        <v>0</v>
      </c>
      <c r="L50" s="322">
        <f t="shared" si="2"/>
        <v>0</v>
      </c>
      <c r="M50" s="322">
        <f t="shared" si="2"/>
        <v>1.1480162787500118E-4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2.6932519034666728E-3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1.1480162787500118E-4</v>
      </c>
      <c r="N51" s="324"/>
      <c r="O51" s="324"/>
      <c r="P51" s="327"/>
    </row>
    <row r="52" spans="1:18">
      <c r="A52" s="4" t="s">
        <v>331</v>
      </c>
      <c r="B52" s="328">
        <f>vkm_2011_tram*SUMIFS(TableECFTransport[EnergieConsumptieFactor (PJ per km)],TableECFTransport[Index],"Tram_gemiddeld_Electric_Electric")</f>
        <v>2.9004070148537166E-3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805.6686152371434</v>
      </c>
      <c r="C54" s="21">
        <f t="shared" ref="C54:P54" si="3">(C50)*10^9/3600</f>
        <v>0</v>
      </c>
      <c r="D54" s="21">
        <f t="shared" si="3"/>
        <v>0</v>
      </c>
      <c r="E54" s="21">
        <f t="shared" si="3"/>
        <v>0</v>
      </c>
      <c r="F54" s="21">
        <f t="shared" si="3"/>
        <v>0</v>
      </c>
      <c r="G54" s="21">
        <f t="shared" si="3"/>
        <v>748.12552874074242</v>
      </c>
      <c r="H54" s="21">
        <f t="shared" si="3"/>
        <v>0</v>
      </c>
      <c r="I54" s="21">
        <f t="shared" si="3"/>
        <v>0</v>
      </c>
      <c r="J54" s="21">
        <f t="shared" si="3"/>
        <v>0</v>
      </c>
      <c r="K54" s="21">
        <f t="shared" si="3"/>
        <v>0</v>
      </c>
      <c r="L54" s="21">
        <f t="shared" si="3"/>
        <v>0</v>
      </c>
      <c r="M54" s="21">
        <f t="shared" si="3"/>
        <v>31.889341076389218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0.21887341215723249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176.33943888494605</v>
      </c>
      <c r="C58" s="23">
        <f t="shared" ref="C58:P58" ca="1" si="4">C54*C56</f>
        <v>0</v>
      </c>
      <c r="D58" s="23">
        <f t="shared" si="4"/>
        <v>0</v>
      </c>
      <c r="E58" s="23">
        <f t="shared" si="4"/>
        <v>0</v>
      </c>
      <c r="F58" s="23">
        <f t="shared" si="4"/>
        <v>0</v>
      </c>
      <c r="G58" s="23">
        <f t="shared" si="4"/>
        <v>199.74951617377823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783.86479908009858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783.86479908009858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39798.889941045811</v>
      </c>
      <c r="D10" s="702">
        <f ca="1">tertiair!C16</f>
        <v>0</v>
      </c>
      <c r="E10" s="702">
        <f ca="1">tertiair!D16</f>
        <v>40925.358742118027</v>
      </c>
      <c r="F10" s="702">
        <f>tertiair!E16</f>
        <v>1074.1751348757541</v>
      </c>
      <c r="G10" s="702">
        <f ca="1">tertiair!F16</f>
        <v>6869.3135770690096</v>
      </c>
      <c r="H10" s="702">
        <f>tertiair!G16</f>
        <v>0</v>
      </c>
      <c r="I10" s="702">
        <f>tertiair!H16</f>
        <v>0</v>
      </c>
      <c r="J10" s="702">
        <f>tertiair!I16</f>
        <v>0</v>
      </c>
      <c r="K10" s="702">
        <f>tertiair!J16</f>
        <v>0</v>
      </c>
      <c r="L10" s="702">
        <f>tertiair!K16</f>
        <v>0</v>
      </c>
      <c r="M10" s="702">
        <f ca="1">tertiair!L16</f>
        <v>0</v>
      </c>
      <c r="N10" s="702">
        <f>tertiair!M16</f>
        <v>0</v>
      </c>
      <c r="O10" s="702">
        <f ca="1">tertiair!N16</f>
        <v>1013.9736522760836</v>
      </c>
      <c r="P10" s="702">
        <f>tertiair!O16</f>
        <v>3.1266666666666669</v>
      </c>
      <c r="Q10" s="703">
        <f>tertiair!P16</f>
        <v>0</v>
      </c>
      <c r="R10" s="705">
        <f ca="1">SUM(C10:Q10)</f>
        <v>89684.837714051348</v>
      </c>
      <c r="S10" s="67"/>
    </row>
    <row r="11" spans="1:19" s="457" customFormat="1">
      <c r="A11" s="858" t="s">
        <v>226</v>
      </c>
      <c r="B11" s="863"/>
      <c r="C11" s="702">
        <f>huishoudens!B8</f>
        <v>34274.912800418489</v>
      </c>
      <c r="D11" s="702">
        <f>huishoudens!C8</f>
        <v>0</v>
      </c>
      <c r="E11" s="702">
        <f>huishoudens!D8</f>
        <v>48642.535556966279</v>
      </c>
      <c r="F11" s="702">
        <f>huishoudens!E8</f>
        <v>872.65666583040877</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2524.8949361776231</v>
      </c>
      <c r="P11" s="702">
        <f>huishoudens!O8</f>
        <v>34.393333333333338</v>
      </c>
      <c r="Q11" s="703">
        <f>huishoudens!P8</f>
        <v>19.066666666666666</v>
      </c>
      <c r="R11" s="705">
        <f>SUM(C11:Q11)</f>
        <v>86368.459959392785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5324.0075333629457</v>
      </c>
      <c r="D13" s="702">
        <f>industrie!C18</f>
        <v>0</v>
      </c>
      <c r="E13" s="702">
        <f>industrie!D18</f>
        <v>3653.3091245522592</v>
      </c>
      <c r="F13" s="702">
        <f>industrie!E18</f>
        <v>64.408675239974656</v>
      </c>
      <c r="G13" s="702">
        <f>industrie!F18</f>
        <v>1837.8889355368576</v>
      </c>
      <c r="H13" s="702">
        <f>industrie!G18</f>
        <v>0</v>
      </c>
      <c r="I13" s="702">
        <f>industrie!H18</f>
        <v>0</v>
      </c>
      <c r="J13" s="702">
        <f>industrie!I18</f>
        <v>0</v>
      </c>
      <c r="K13" s="702">
        <f>industrie!J18</f>
        <v>21.372434723959987</v>
      </c>
      <c r="L13" s="702">
        <f>industrie!K18</f>
        <v>0</v>
      </c>
      <c r="M13" s="702">
        <f>industrie!L18</f>
        <v>0</v>
      </c>
      <c r="N13" s="702">
        <f>industrie!M18</f>
        <v>0</v>
      </c>
      <c r="O13" s="702">
        <f>industrie!N18</f>
        <v>167.57789320532316</v>
      </c>
      <c r="P13" s="702">
        <f>industrie!O18</f>
        <v>0</v>
      </c>
      <c r="Q13" s="703">
        <f>industrie!P18</f>
        <v>0</v>
      </c>
      <c r="R13" s="705">
        <f>SUM(C13:Q13)</f>
        <v>11068.564596621321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79397.81027482725</v>
      </c>
      <c r="D15" s="707">
        <f t="shared" ref="D15:Q15" ca="1" si="0">SUM(D9:D14)</f>
        <v>0</v>
      </c>
      <c r="E15" s="707">
        <f t="shared" ca="1" si="0"/>
        <v>93221.203423636558</v>
      </c>
      <c r="F15" s="707">
        <f t="shared" si="0"/>
        <v>2011.2404759461376</v>
      </c>
      <c r="G15" s="707">
        <f t="shared" ca="1" si="0"/>
        <v>8707.202512605867</v>
      </c>
      <c r="H15" s="707">
        <f t="shared" si="0"/>
        <v>0</v>
      </c>
      <c r="I15" s="707">
        <f t="shared" si="0"/>
        <v>0</v>
      </c>
      <c r="J15" s="707">
        <f t="shared" si="0"/>
        <v>0</v>
      </c>
      <c r="K15" s="707">
        <f t="shared" si="0"/>
        <v>21.372434723959987</v>
      </c>
      <c r="L15" s="707">
        <f t="shared" si="0"/>
        <v>0</v>
      </c>
      <c r="M15" s="707">
        <f t="shared" ca="1" si="0"/>
        <v>0</v>
      </c>
      <c r="N15" s="707">
        <f t="shared" si="0"/>
        <v>0</v>
      </c>
      <c r="O15" s="707">
        <f t="shared" ca="1" si="0"/>
        <v>3706.4464816590298</v>
      </c>
      <c r="P15" s="707">
        <f t="shared" si="0"/>
        <v>37.520000000000003</v>
      </c>
      <c r="Q15" s="708">
        <f t="shared" si="0"/>
        <v>19.066666666666666</v>
      </c>
      <c r="R15" s="709">
        <f ca="1">SUM(R9:R14)</f>
        <v>187121.86227006547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805.6686152371434</v>
      </c>
      <c r="D18" s="702">
        <f>transport!C54</f>
        <v>0</v>
      </c>
      <c r="E18" s="702">
        <f>transport!D54</f>
        <v>0</v>
      </c>
      <c r="F18" s="702">
        <f>transport!E54</f>
        <v>0</v>
      </c>
      <c r="G18" s="702">
        <f>transport!F54</f>
        <v>0</v>
      </c>
      <c r="H18" s="702">
        <f>transport!G54</f>
        <v>748.12552874074242</v>
      </c>
      <c r="I18" s="702">
        <f>transport!H54</f>
        <v>0</v>
      </c>
      <c r="J18" s="702">
        <f>transport!I54</f>
        <v>0</v>
      </c>
      <c r="K18" s="702">
        <f>transport!J54</f>
        <v>0</v>
      </c>
      <c r="L18" s="702">
        <f>transport!K54</f>
        <v>0</v>
      </c>
      <c r="M18" s="702">
        <f>transport!L54</f>
        <v>0</v>
      </c>
      <c r="N18" s="702">
        <f>transport!M54</f>
        <v>31.889341076389218</v>
      </c>
      <c r="O18" s="702">
        <f>transport!N54</f>
        <v>0</v>
      </c>
      <c r="P18" s="702">
        <f>transport!O54</f>
        <v>0</v>
      </c>
      <c r="Q18" s="703">
        <f>transport!P54</f>
        <v>0</v>
      </c>
      <c r="R18" s="705">
        <f>SUM(C18:Q18)</f>
        <v>1585.683485054275</v>
      </c>
      <c r="S18" s="67"/>
    </row>
    <row r="19" spans="1:19" s="457" customFormat="1" ht="15" thickBot="1">
      <c r="A19" s="858" t="s">
        <v>308</v>
      </c>
      <c r="B19" s="863"/>
      <c r="C19" s="711">
        <f>transport!B14</f>
        <v>0.6382533074854263</v>
      </c>
      <c r="D19" s="711">
        <f>transport!C14</f>
        <v>0</v>
      </c>
      <c r="E19" s="711">
        <f>transport!D14</f>
        <v>2.8901099299650563</v>
      </c>
      <c r="F19" s="711">
        <f>transport!E14</f>
        <v>340.99009490092214</v>
      </c>
      <c r="G19" s="711">
        <f>transport!F14</f>
        <v>0</v>
      </c>
      <c r="H19" s="711">
        <f>transport!G14</f>
        <v>78118.339446962229</v>
      </c>
      <c r="I19" s="711">
        <f>transport!H14</f>
        <v>10020.735893189229</v>
      </c>
      <c r="J19" s="711">
        <f>transport!I14</f>
        <v>0</v>
      </c>
      <c r="K19" s="711">
        <f>transport!J14</f>
        <v>0</v>
      </c>
      <c r="L19" s="711">
        <f>transport!K14</f>
        <v>0</v>
      </c>
      <c r="M19" s="711">
        <f>transport!L14</f>
        <v>0</v>
      </c>
      <c r="N19" s="711">
        <f>transport!M14</f>
        <v>3836.9388850770274</v>
      </c>
      <c r="O19" s="711">
        <f>transport!N14</f>
        <v>0</v>
      </c>
      <c r="P19" s="711">
        <f>transport!O14</f>
        <v>0</v>
      </c>
      <c r="Q19" s="712">
        <f>transport!P14</f>
        <v>0</v>
      </c>
      <c r="R19" s="713">
        <f>SUM(C19:Q19)</f>
        <v>92320.532683366851</v>
      </c>
      <c r="S19" s="67"/>
    </row>
    <row r="20" spans="1:19" s="457" customFormat="1" ht="15.75" thickBot="1">
      <c r="A20" s="714" t="s">
        <v>231</v>
      </c>
      <c r="B20" s="866"/>
      <c r="C20" s="861">
        <f>SUM(C17:C19)</f>
        <v>806.30686854462886</v>
      </c>
      <c r="D20" s="715">
        <f t="shared" ref="D20:R20" si="1">SUM(D17:D19)</f>
        <v>0</v>
      </c>
      <c r="E20" s="715">
        <f t="shared" si="1"/>
        <v>2.8901099299650563</v>
      </c>
      <c r="F20" s="715">
        <f t="shared" si="1"/>
        <v>340.99009490092214</v>
      </c>
      <c r="G20" s="715">
        <f t="shared" si="1"/>
        <v>0</v>
      </c>
      <c r="H20" s="715">
        <f t="shared" si="1"/>
        <v>78866.464975702969</v>
      </c>
      <c r="I20" s="715">
        <f t="shared" si="1"/>
        <v>10020.735893189229</v>
      </c>
      <c r="J20" s="715">
        <f t="shared" si="1"/>
        <v>0</v>
      </c>
      <c r="K20" s="715">
        <f t="shared" si="1"/>
        <v>0</v>
      </c>
      <c r="L20" s="715">
        <f t="shared" si="1"/>
        <v>0</v>
      </c>
      <c r="M20" s="715">
        <f t="shared" si="1"/>
        <v>0</v>
      </c>
      <c r="N20" s="715">
        <f t="shared" si="1"/>
        <v>3868.8282261534168</v>
      </c>
      <c r="O20" s="715">
        <f t="shared" si="1"/>
        <v>0</v>
      </c>
      <c r="P20" s="715">
        <f t="shared" si="1"/>
        <v>0</v>
      </c>
      <c r="Q20" s="716">
        <f t="shared" si="1"/>
        <v>0</v>
      </c>
      <c r="R20" s="717">
        <f t="shared" si="1"/>
        <v>93906.216168421131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1256.9526101618183</v>
      </c>
      <c r="D22" s="711">
        <f>+landbouw!C8</f>
        <v>0</v>
      </c>
      <c r="E22" s="711">
        <f>+landbouw!D8</f>
        <v>3092.8185356915742</v>
      </c>
      <c r="F22" s="711">
        <f>+landbouw!E8</f>
        <v>13.163079852757702</v>
      </c>
      <c r="G22" s="711">
        <f>+landbouw!F8</f>
        <v>6455.9087431497373</v>
      </c>
      <c r="H22" s="711">
        <f>+landbouw!G8</f>
        <v>0</v>
      </c>
      <c r="I22" s="711">
        <f>+landbouw!H8</f>
        <v>0</v>
      </c>
      <c r="J22" s="711">
        <f>+landbouw!I8</f>
        <v>0</v>
      </c>
      <c r="K22" s="711">
        <f>+landbouw!J8</f>
        <v>112.25713434589377</v>
      </c>
      <c r="L22" s="711">
        <f>+landbouw!K8</f>
        <v>0</v>
      </c>
      <c r="M22" s="711">
        <f>+landbouw!L8</f>
        <v>0</v>
      </c>
      <c r="N22" s="711">
        <f>+landbouw!M8</f>
        <v>0</v>
      </c>
      <c r="O22" s="711">
        <f>+landbouw!N8</f>
        <v>0</v>
      </c>
      <c r="P22" s="711">
        <f>+landbouw!O8</f>
        <v>0</v>
      </c>
      <c r="Q22" s="712">
        <f>+landbouw!P8</f>
        <v>0</v>
      </c>
      <c r="R22" s="713">
        <f>SUM(C22:Q22)</f>
        <v>10931.100103201779</v>
      </c>
      <c r="S22" s="67"/>
    </row>
    <row r="23" spans="1:19" s="457" customFormat="1" ht="17.25" thickTop="1" thickBot="1">
      <c r="A23" s="718" t="s">
        <v>116</v>
      </c>
      <c r="B23" s="852"/>
      <c r="C23" s="719">
        <f ca="1">C20+C15+C22</f>
        <v>81461.069753533709</v>
      </c>
      <c r="D23" s="719">
        <f t="shared" ref="D23:Q23" ca="1" si="2">D20+D15+D22</f>
        <v>0</v>
      </c>
      <c r="E23" s="719">
        <f t="shared" ca="1" si="2"/>
        <v>96316.912069258105</v>
      </c>
      <c r="F23" s="719">
        <f t="shared" si="2"/>
        <v>2365.3936506998175</v>
      </c>
      <c r="G23" s="719">
        <f t="shared" ca="1" si="2"/>
        <v>15163.111255755604</v>
      </c>
      <c r="H23" s="719">
        <f t="shared" si="2"/>
        <v>78866.464975702969</v>
      </c>
      <c r="I23" s="719">
        <f t="shared" si="2"/>
        <v>10020.735893189229</v>
      </c>
      <c r="J23" s="719">
        <f t="shared" si="2"/>
        <v>0</v>
      </c>
      <c r="K23" s="719">
        <f t="shared" si="2"/>
        <v>133.62956906985377</v>
      </c>
      <c r="L23" s="719">
        <f t="shared" si="2"/>
        <v>0</v>
      </c>
      <c r="M23" s="719">
        <f t="shared" ca="1" si="2"/>
        <v>0</v>
      </c>
      <c r="N23" s="719">
        <f t="shared" si="2"/>
        <v>3868.8282261534168</v>
      </c>
      <c r="O23" s="719">
        <f t="shared" ca="1" si="2"/>
        <v>3706.4464816590298</v>
      </c>
      <c r="P23" s="719">
        <f t="shared" si="2"/>
        <v>37.520000000000003</v>
      </c>
      <c r="Q23" s="720">
        <f t="shared" si="2"/>
        <v>19.066666666666666</v>
      </c>
      <c r="R23" s="721">
        <f ca="1">R20+R15+R22</f>
        <v>291959.17854168836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8710.9188414668552</v>
      </c>
      <c r="D36" s="702">
        <f ca="1">tertiair!C20</f>
        <v>0</v>
      </c>
      <c r="E36" s="702">
        <f ca="1">tertiair!D20</f>
        <v>8266.9224659078427</v>
      </c>
      <c r="F36" s="702">
        <f>tertiair!E20</f>
        <v>243.83775561679619</v>
      </c>
      <c r="G36" s="702">
        <f ca="1">tertiair!F20</f>
        <v>1834.1067250774256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19055.785788068923</v>
      </c>
    </row>
    <row r="37" spans="1:18">
      <c r="A37" s="873" t="s">
        <v>226</v>
      </c>
      <c r="B37" s="880"/>
      <c r="C37" s="702">
        <f ca="1">huishoudens!B12</f>
        <v>7501.8671160191998</v>
      </c>
      <c r="D37" s="702">
        <f ca="1">huishoudens!C12</f>
        <v>0</v>
      </c>
      <c r="E37" s="702">
        <f>huishoudens!D12</f>
        <v>9825.792182507188</v>
      </c>
      <c r="F37" s="702">
        <f>huishoudens!E12</f>
        <v>198.0930631435028</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17525.752361669893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1165.2836951779586</v>
      </c>
      <c r="D39" s="702">
        <f ca="1">industrie!C22</f>
        <v>0</v>
      </c>
      <c r="E39" s="702">
        <f>industrie!D22</f>
        <v>737.96844315955639</v>
      </c>
      <c r="F39" s="702">
        <f>industrie!E22</f>
        <v>14.620769279474247</v>
      </c>
      <c r="G39" s="702">
        <f>industrie!F22</f>
        <v>490.71634578834102</v>
      </c>
      <c r="H39" s="702">
        <f>industrie!G22</f>
        <v>0</v>
      </c>
      <c r="I39" s="702">
        <f>industrie!H22</f>
        <v>0</v>
      </c>
      <c r="J39" s="702">
        <f>industrie!I22</f>
        <v>0</v>
      </c>
      <c r="K39" s="702">
        <f>industrie!J22</f>
        <v>7.5658418922818349</v>
      </c>
      <c r="L39" s="702">
        <f>industrie!K22</f>
        <v>0</v>
      </c>
      <c r="M39" s="702">
        <f>industrie!L22</f>
        <v>0</v>
      </c>
      <c r="N39" s="702">
        <f>industrie!M22</f>
        <v>0</v>
      </c>
      <c r="O39" s="702">
        <f>industrie!N22</f>
        <v>0</v>
      </c>
      <c r="P39" s="702">
        <f>industrie!O22</f>
        <v>0</v>
      </c>
      <c r="Q39" s="812">
        <f>industrie!P22</f>
        <v>0</v>
      </c>
      <c r="R39" s="906">
        <f ca="1">SUM(C39:Q39)</f>
        <v>2416.1550952976122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17378.069652664013</v>
      </c>
      <c r="D41" s="747">
        <f t="shared" ref="D41:R41" ca="1" si="4">SUM(D35:D40)</f>
        <v>0</v>
      </c>
      <c r="E41" s="747">
        <f t="shared" ca="1" si="4"/>
        <v>18830.683091574585</v>
      </c>
      <c r="F41" s="747">
        <f t="shared" si="4"/>
        <v>456.55158803977321</v>
      </c>
      <c r="G41" s="747">
        <f t="shared" ca="1" si="4"/>
        <v>2324.8230708657666</v>
      </c>
      <c r="H41" s="747">
        <f t="shared" si="4"/>
        <v>0</v>
      </c>
      <c r="I41" s="747">
        <f t="shared" si="4"/>
        <v>0</v>
      </c>
      <c r="J41" s="747">
        <f t="shared" si="4"/>
        <v>0</v>
      </c>
      <c r="K41" s="747">
        <f t="shared" si="4"/>
        <v>7.5658418922818349</v>
      </c>
      <c r="L41" s="747">
        <f t="shared" si="4"/>
        <v>0</v>
      </c>
      <c r="M41" s="747">
        <f t="shared" ca="1" si="4"/>
        <v>0</v>
      </c>
      <c r="N41" s="747">
        <f t="shared" si="4"/>
        <v>0</v>
      </c>
      <c r="O41" s="747">
        <f t="shared" ca="1" si="4"/>
        <v>0</v>
      </c>
      <c r="P41" s="747">
        <f t="shared" si="4"/>
        <v>0</v>
      </c>
      <c r="Q41" s="748">
        <f t="shared" si="4"/>
        <v>0</v>
      </c>
      <c r="R41" s="749">
        <f t="shared" ca="1" si="4"/>
        <v>38997.693245036426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176.33943888494605</v>
      </c>
      <c r="D44" s="702">
        <f ca="1">transport!C58</f>
        <v>0</v>
      </c>
      <c r="E44" s="702">
        <f>transport!D58</f>
        <v>0</v>
      </c>
      <c r="F44" s="702">
        <f>transport!E58</f>
        <v>0</v>
      </c>
      <c r="G44" s="702">
        <f>transport!F58</f>
        <v>0</v>
      </c>
      <c r="H44" s="702">
        <f>transport!G58</f>
        <v>199.74951617377823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376.08895505872431</v>
      </c>
    </row>
    <row r="45" spans="1:18" ht="15" thickBot="1">
      <c r="A45" s="876" t="s">
        <v>308</v>
      </c>
      <c r="B45" s="886"/>
      <c r="C45" s="711">
        <f ca="1">transport!B18</f>
        <v>0.13969667922997456</v>
      </c>
      <c r="D45" s="711">
        <f>transport!C18</f>
        <v>0</v>
      </c>
      <c r="E45" s="711">
        <f>transport!D18</f>
        <v>0.5838022058529414</v>
      </c>
      <c r="F45" s="711">
        <f>transport!E18</f>
        <v>77.404751542509331</v>
      </c>
      <c r="G45" s="711">
        <f>transport!F18</f>
        <v>0</v>
      </c>
      <c r="H45" s="711">
        <f>transport!G18</f>
        <v>20857.596632338915</v>
      </c>
      <c r="I45" s="711">
        <f>transport!H18</f>
        <v>2495.1632374041178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23430.888120170624</v>
      </c>
    </row>
    <row r="46" spans="1:18" ht="15.75" thickBot="1">
      <c r="A46" s="874" t="s">
        <v>231</v>
      </c>
      <c r="B46" s="887"/>
      <c r="C46" s="747">
        <f t="shared" ref="C46:R46" ca="1" si="5">SUM(C43:C45)</f>
        <v>176.47913556417603</v>
      </c>
      <c r="D46" s="747">
        <f t="shared" ca="1" si="5"/>
        <v>0</v>
      </c>
      <c r="E46" s="747">
        <f t="shared" si="5"/>
        <v>0.5838022058529414</v>
      </c>
      <c r="F46" s="747">
        <f t="shared" si="5"/>
        <v>77.404751542509331</v>
      </c>
      <c r="G46" s="747">
        <f t="shared" si="5"/>
        <v>0</v>
      </c>
      <c r="H46" s="747">
        <f t="shared" si="5"/>
        <v>21057.346148512694</v>
      </c>
      <c r="I46" s="747">
        <f t="shared" si="5"/>
        <v>2495.1632374041178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23806.977075229348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275.11350670605685</v>
      </c>
      <c r="D48" s="702">
        <f ca="1">+landbouw!C12</f>
        <v>0</v>
      </c>
      <c r="E48" s="702">
        <f>+landbouw!D12</f>
        <v>624.74934420969805</v>
      </c>
      <c r="F48" s="702">
        <f>+landbouw!E12</f>
        <v>2.9880191265759986</v>
      </c>
      <c r="G48" s="702">
        <f>+landbouw!F12</f>
        <v>1723.7276344209799</v>
      </c>
      <c r="H48" s="702">
        <f>+landbouw!G12</f>
        <v>0</v>
      </c>
      <c r="I48" s="702">
        <f>+landbouw!H12</f>
        <v>0</v>
      </c>
      <c r="J48" s="702">
        <f>+landbouw!I12</f>
        <v>0</v>
      </c>
      <c r="K48" s="702">
        <f>+landbouw!J12</f>
        <v>39.739025558446393</v>
      </c>
      <c r="L48" s="702">
        <f>+landbouw!K12</f>
        <v>0</v>
      </c>
      <c r="M48" s="702">
        <f>+landbouw!L12</f>
        <v>0</v>
      </c>
      <c r="N48" s="702">
        <f>+landbouw!M12</f>
        <v>0</v>
      </c>
      <c r="O48" s="702">
        <f>+landbouw!N12</f>
        <v>0</v>
      </c>
      <c r="P48" s="702">
        <f>+landbouw!O12</f>
        <v>0</v>
      </c>
      <c r="Q48" s="703">
        <f>+landbouw!P12</f>
        <v>0</v>
      </c>
      <c r="R48" s="745">
        <f ca="1">SUM(C48:Q48)</f>
        <v>2666.3175300217572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17829.662294934245</v>
      </c>
      <c r="D53" s="757">
        <f t="shared" ref="D53:Q53" ca="1" si="6">D41+D46+D48</f>
        <v>0</v>
      </c>
      <c r="E53" s="757">
        <f t="shared" ca="1" si="6"/>
        <v>19456.016237990134</v>
      </c>
      <c r="F53" s="757">
        <f t="shared" si="6"/>
        <v>536.94435870885854</v>
      </c>
      <c r="G53" s="757">
        <f t="shared" ca="1" si="6"/>
        <v>4048.5507052867465</v>
      </c>
      <c r="H53" s="757">
        <f t="shared" si="6"/>
        <v>21057.346148512694</v>
      </c>
      <c r="I53" s="757">
        <f t="shared" si="6"/>
        <v>2495.1632374041178</v>
      </c>
      <c r="J53" s="757">
        <f t="shared" si="6"/>
        <v>0</v>
      </c>
      <c r="K53" s="757">
        <f t="shared" si="6"/>
        <v>47.304867450728224</v>
      </c>
      <c r="L53" s="757">
        <f t="shared" si="6"/>
        <v>0</v>
      </c>
      <c r="M53" s="757">
        <f t="shared" ca="1" si="6"/>
        <v>0</v>
      </c>
      <c r="N53" s="757">
        <f t="shared" si="6"/>
        <v>0</v>
      </c>
      <c r="O53" s="757">
        <f t="shared" ca="1" si="6"/>
        <v>0</v>
      </c>
      <c r="P53" s="757">
        <f>P41+P46+P48</f>
        <v>0</v>
      </c>
      <c r="Q53" s="758">
        <f t="shared" si="6"/>
        <v>0</v>
      </c>
      <c r="R53" s="759">
        <f ca="1">R41+R46+R48</f>
        <v>65470.987850287529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0.21887341215723244</v>
      </c>
      <c r="D55" s="823">
        <f t="shared" ca="1" si="7"/>
        <v>0</v>
      </c>
      <c r="E55" s="823">
        <f t="shared" ca="1" si="7"/>
        <v>0.20199999999999996</v>
      </c>
      <c r="F55" s="823">
        <f t="shared" si="7"/>
        <v>0.22699999999999998</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783.86479908009858</v>
      </c>
      <c r="C66" s="779">
        <f>'lokale energieproductie'!B6</f>
        <v>783.86479908009858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783.86479908009858</v>
      </c>
      <c r="C69" s="787">
        <f>SUM(C64:C68)</f>
        <v>783.86479908009858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34274.912800418489</v>
      </c>
      <c r="C4" s="461">
        <f>huishoudens!C8</f>
        <v>0</v>
      </c>
      <c r="D4" s="461">
        <f>huishoudens!D8</f>
        <v>48642.535556966279</v>
      </c>
      <c r="E4" s="461">
        <f>huishoudens!E8</f>
        <v>872.65666583040877</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2524.8949361776231</v>
      </c>
      <c r="O4" s="461">
        <f>huishoudens!O8</f>
        <v>34.393333333333338</v>
      </c>
      <c r="P4" s="462">
        <f>huishoudens!P8</f>
        <v>19.066666666666666</v>
      </c>
      <c r="Q4" s="463">
        <f>SUM(B4:P4)</f>
        <v>86368.459959392785</v>
      </c>
    </row>
    <row r="5" spans="1:17">
      <c r="A5" s="460" t="s">
        <v>156</v>
      </c>
      <c r="B5" s="461">
        <f ca="1">tertiair!B16</f>
        <v>38739.312941045813</v>
      </c>
      <c r="C5" s="461">
        <f ca="1">tertiair!C16</f>
        <v>0</v>
      </c>
      <c r="D5" s="461">
        <f ca="1">tertiair!D16</f>
        <v>40925.358742118027</v>
      </c>
      <c r="E5" s="461">
        <f>tertiair!E16</f>
        <v>1074.1751348757541</v>
      </c>
      <c r="F5" s="461">
        <f ca="1">tertiair!F16</f>
        <v>6869.3135770690096</v>
      </c>
      <c r="G5" s="461">
        <f>tertiair!G16</f>
        <v>0</v>
      </c>
      <c r="H5" s="461">
        <f>tertiair!H16</f>
        <v>0</v>
      </c>
      <c r="I5" s="461">
        <f>tertiair!I16</f>
        <v>0</v>
      </c>
      <c r="J5" s="461">
        <f>tertiair!J16</f>
        <v>0</v>
      </c>
      <c r="K5" s="461">
        <f>tertiair!K16</f>
        <v>0</v>
      </c>
      <c r="L5" s="461">
        <f ca="1">tertiair!L16</f>
        <v>0</v>
      </c>
      <c r="M5" s="461">
        <f>tertiair!M16</f>
        <v>0</v>
      </c>
      <c r="N5" s="461">
        <f ca="1">tertiair!N16</f>
        <v>1013.9736522760836</v>
      </c>
      <c r="O5" s="461">
        <f>tertiair!O16</f>
        <v>3.1266666666666669</v>
      </c>
      <c r="P5" s="462">
        <f>tertiair!P16</f>
        <v>0</v>
      </c>
      <c r="Q5" s="460">
        <f t="shared" ref="Q5:Q13" ca="1" si="0">SUM(B5:P5)</f>
        <v>88625.260714051357</v>
      </c>
    </row>
    <row r="6" spans="1:17">
      <c r="A6" s="460" t="s">
        <v>195</v>
      </c>
      <c r="B6" s="461">
        <f>'openbare verlichting'!B8</f>
        <v>1059.577</v>
      </c>
      <c r="C6" s="461"/>
      <c r="D6" s="461"/>
      <c r="E6" s="461"/>
      <c r="F6" s="461"/>
      <c r="G6" s="461"/>
      <c r="H6" s="461"/>
      <c r="I6" s="461"/>
      <c r="J6" s="461"/>
      <c r="K6" s="461"/>
      <c r="L6" s="461"/>
      <c r="M6" s="461"/>
      <c r="N6" s="461"/>
      <c r="O6" s="461"/>
      <c r="P6" s="462"/>
      <c r="Q6" s="460">
        <f t="shared" si="0"/>
        <v>1059.577</v>
      </c>
    </row>
    <row r="7" spans="1:17">
      <c r="A7" s="460" t="s">
        <v>112</v>
      </c>
      <c r="B7" s="461">
        <f>landbouw!B8</f>
        <v>1256.9526101618183</v>
      </c>
      <c r="C7" s="461">
        <f>landbouw!C8</f>
        <v>0</v>
      </c>
      <c r="D7" s="461">
        <f>landbouw!D8</f>
        <v>3092.8185356915742</v>
      </c>
      <c r="E7" s="461">
        <f>landbouw!E8</f>
        <v>13.163079852757702</v>
      </c>
      <c r="F7" s="461">
        <f>landbouw!F8</f>
        <v>6455.9087431497373</v>
      </c>
      <c r="G7" s="461">
        <f>landbouw!G8</f>
        <v>0</v>
      </c>
      <c r="H7" s="461">
        <f>landbouw!H8</f>
        <v>0</v>
      </c>
      <c r="I7" s="461">
        <f>landbouw!I8</f>
        <v>0</v>
      </c>
      <c r="J7" s="461">
        <f>landbouw!J8</f>
        <v>112.25713434589377</v>
      </c>
      <c r="K7" s="461">
        <f>landbouw!K8</f>
        <v>0</v>
      </c>
      <c r="L7" s="461">
        <f>landbouw!L8</f>
        <v>0</v>
      </c>
      <c r="M7" s="461">
        <f>landbouw!M8</f>
        <v>0</v>
      </c>
      <c r="N7" s="461">
        <f>landbouw!N8</f>
        <v>0</v>
      </c>
      <c r="O7" s="461">
        <f>landbouw!O8</f>
        <v>0</v>
      </c>
      <c r="P7" s="462">
        <f>landbouw!P8</f>
        <v>0</v>
      </c>
      <c r="Q7" s="460">
        <f t="shared" si="0"/>
        <v>10931.100103201779</v>
      </c>
    </row>
    <row r="8" spans="1:17">
      <c r="A8" s="460" t="s">
        <v>656</v>
      </c>
      <c r="B8" s="461">
        <f>industrie!B18</f>
        <v>5324.0075333629457</v>
      </c>
      <c r="C8" s="461">
        <f>industrie!C18</f>
        <v>0</v>
      </c>
      <c r="D8" s="461">
        <f>industrie!D18</f>
        <v>3653.3091245522592</v>
      </c>
      <c r="E8" s="461">
        <f>industrie!E18</f>
        <v>64.408675239974656</v>
      </c>
      <c r="F8" s="461">
        <f>industrie!F18</f>
        <v>1837.8889355368576</v>
      </c>
      <c r="G8" s="461">
        <f>industrie!G18</f>
        <v>0</v>
      </c>
      <c r="H8" s="461">
        <f>industrie!H18</f>
        <v>0</v>
      </c>
      <c r="I8" s="461">
        <f>industrie!I18</f>
        <v>0</v>
      </c>
      <c r="J8" s="461">
        <f>industrie!J18</f>
        <v>21.372434723959987</v>
      </c>
      <c r="K8" s="461">
        <f>industrie!K18</f>
        <v>0</v>
      </c>
      <c r="L8" s="461">
        <f>industrie!L18</f>
        <v>0</v>
      </c>
      <c r="M8" s="461">
        <f>industrie!M18</f>
        <v>0</v>
      </c>
      <c r="N8" s="461">
        <f>industrie!N18</f>
        <v>167.57789320532316</v>
      </c>
      <c r="O8" s="461">
        <f>industrie!O18</f>
        <v>0</v>
      </c>
      <c r="P8" s="462">
        <f>industrie!P18</f>
        <v>0</v>
      </c>
      <c r="Q8" s="460">
        <f t="shared" si="0"/>
        <v>11068.564596621321</v>
      </c>
    </row>
    <row r="9" spans="1:17" s="466" customFormat="1">
      <c r="A9" s="464" t="s">
        <v>574</v>
      </c>
      <c r="B9" s="465">
        <f>transport!B14</f>
        <v>0.6382533074854263</v>
      </c>
      <c r="C9" s="465">
        <f>transport!C14</f>
        <v>0</v>
      </c>
      <c r="D9" s="465">
        <f>transport!D14</f>
        <v>2.8901099299650563</v>
      </c>
      <c r="E9" s="465">
        <f>transport!E14</f>
        <v>340.99009490092214</v>
      </c>
      <c r="F9" s="465">
        <f>transport!F14</f>
        <v>0</v>
      </c>
      <c r="G9" s="465">
        <f>transport!G14</f>
        <v>78118.339446962229</v>
      </c>
      <c r="H9" s="465">
        <f>transport!H14</f>
        <v>10020.735893189229</v>
      </c>
      <c r="I9" s="465">
        <f>transport!I14</f>
        <v>0</v>
      </c>
      <c r="J9" s="465">
        <f>transport!J14</f>
        <v>0</v>
      </c>
      <c r="K9" s="465">
        <f>transport!K14</f>
        <v>0</v>
      </c>
      <c r="L9" s="465">
        <f>transport!L14</f>
        <v>0</v>
      </c>
      <c r="M9" s="465">
        <f>transport!M14</f>
        <v>3836.9388850770274</v>
      </c>
      <c r="N9" s="465">
        <f>transport!N14</f>
        <v>0</v>
      </c>
      <c r="O9" s="465">
        <f>transport!O14</f>
        <v>0</v>
      </c>
      <c r="P9" s="465">
        <f>transport!P14</f>
        <v>0</v>
      </c>
      <c r="Q9" s="464">
        <f>SUM(B9:P9)</f>
        <v>92320.532683366851</v>
      </c>
    </row>
    <row r="10" spans="1:17">
      <c r="A10" s="460" t="s">
        <v>564</v>
      </c>
      <c r="B10" s="461">
        <f>transport!B54</f>
        <v>805.6686152371434</v>
      </c>
      <c r="C10" s="461">
        <f>transport!C54</f>
        <v>0</v>
      </c>
      <c r="D10" s="461">
        <f>transport!D54</f>
        <v>0</v>
      </c>
      <c r="E10" s="461">
        <f>transport!E54</f>
        <v>0</v>
      </c>
      <c r="F10" s="461">
        <f>transport!F54</f>
        <v>0</v>
      </c>
      <c r="G10" s="461">
        <f>transport!G54</f>
        <v>748.12552874074242</v>
      </c>
      <c r="H10" s="461">
        <f>transport!H54</f>
        <v>0</v>
      </c>
      <c r="I10" s="461">
        <f>transport!I54</f>
        <v>0</v>
      </c>
      <c r="J10" s="461">
        <f>transport!J54</f>
        <v>0</v>
      </c>
      <c r="K10" s="461">
        <f>transport!K54</f>
        <v>0</v>
      </c>
      <c r="L10" s="461">
        <f>transport!L54</f>
        <v>0</v>
      </c>
      <c r="M10" s="461">
        <f>transport!M54</f>
        <v>31.889341076389218</v>
      </c>
      <c r="N10" s="461">
        <f>transport!N54</f>
        <v>0</v>
      </c>
      <c r="O10" s="461">
        <f>transport!O54</f>
        <v>0</v>
      </c>
      <c r="P10" s="462">
        <f>transport!P54</f>
        <v>0</v>
      </c>
      <c r="Q10" s="460">
        <f t="shared" si="0"/>
        <v>1585.683485054275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81461.069753533695</v>
      </c>
      <c r="C14" s="471">
        <f t="shared" ref="C14:Q14" ca="1" si="1">SUM(C4:C13)</f>
        <v>0</v>
      </c>
      <c r="D14" s="471">
        <f t="shared" ca="1" si="1"/>
        <v>96316.91206925812</v>
      </c>
      <c r="E14" s="471">
        <f t="shared" si="1"/>
        <v>2365.3936506998175</v>
      </c>
      <c r="F14" s="471">
        <f t="shared" ca="1" si="1"/>
        <v>15163.111255755604</v>
      </c>
      <c r="G14" s="471">
        <f t="shared" si="1"/>
        <v>78866.464975702969</v>
      </c>
      <c r="H14" s="471">
        <f t="shared" si="1"/>
        <v>10020.735893189229</v>
      </c>
      <c r="I14" s="471">
        <f t="shared" si="1"/>
        <v>0</v>
      </c>
      <c r="J14" s="471">
        <f t="shared" si="1"/>
        <v>133.62956906985377</v>
      </c>
      <c r="K14" s="471">
        <f t="shared" si="1"/>
        <v>0</v>
      </c>
      <c r="L14" s="471">
        <f t="shared" ca="1" si="1"/>
        <v>0</v>
      </c>
      <c r="M14" s="471">
        <f t="shared" si="1"/>
        <v>3868.8282261534168</v>
      </c>
      <c r="N14" s="471">
        <f t="shared" ca="1" si="1"/>
        <v>3706.4464816590298</v>
      </c>
      <c r="O14" s="471">
        <f t="shared" si="1"/>
        <v>37.520000000000003</v>
      </c>
      <c r="P14" s="472">
        <f t="shared" si="1"/>
        <v>19.066666666666666</v>
      </c>
      <c r="Q14" s="472">
        <f t="shared" ca="1" si="1"/>
        <v>291959.17854168836</v>
      </c>
    </row>
    <row r="16" spans="1:17">
      <c r="A16" s="474" t="s">
        <v>569</v>
      </c>
      <c r="B16" s="828">
        <f ca="1">huishoudens!B10</f>
        <v>0.21887341215723249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7501.8671160191998</v>
      </c>
      <c r="C21" s="461">
        <f t="shared" ref="C21:C30" ca="1" si="3">C4*$C$16</f>
        <v>0</v>
      </c>
      <c r="D21" s="461">
        <f t="shared" ref="D21:D30" si="4">D4*$D$16</f>
        <v>9825.792182507188</v>
      </c>
      <c r="E21" s="461">
        <f t="shared" ref="E21:E30" si="5">E4*$E$16</f>
        <v>198.0930631435028</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17525.752361669893</v>
      </c>
    </row>
    <row r="22" spans="1:17">
      <c r="A22" s="460" t="s">
        <v>156</v>
      </c>
      <c r="B22" s="461">
        <f t="shared" ca="1" si="2"/>
        <v>8479.0056080335307</v>
      </c>
      <c r="C22" s="461">
        <f t="shared" ca="1" si="3"/>
        <v>0</v>
      </c>
      <c r="D22" s="461">
        <f t="shared" ca="1" si="4"/>
        <v>8266.9224659078427</v>
      </c>
      <c r="E22" s="461">
        <f t="shared" si="5"/>
        <v>243.83775561679619</v>
      </c>
      <c r="F22" s="461">
        <f t="shared" ca="1" si="6"/>
        <v>1834.1067250774256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18823.872554635596</v>
      </c>
    </row>
    <row r="23" spans="1:17">
      <c r="A23" s="460" t="s">
        <v>195</v>
      </c>
      <c r="B23" s="461">
        <f t="shared" ca="1" si="2"/>
        <v>231.91323343332394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231.91323343332394</v>
      </c>
    </row>
    <row r="24" spans="1:17">
      <c r="A24" s="460" t="s">
        <v>112</v>
      </c>
      <c r="B24" s="461">
        <f t="shared" ca="1" si="2"/>
        <v>275.11350670605685</v>
      </c>
      <c r="C24" s="461">
        <f t="shared" ca="1" si="3"/>
        <v>0</v>
      </c>
      <c r="D24" s="461">
        <f t="shared" si="4"/>
        <v>624.74934420969805</v>
      </c>
      <c r="E24" s="461">
        <f t="shared" si="5"/>
        <v>2.9880191265759986</v>
      </c>
      <c r="F24" s="461">
        <f t="shared" si="6"/>
        <v>1723.7276344209799</v>
      </c>
      <c r="G24" s="461">
        <f t="shared" si="7"/>
        <v>0</v>
      </c>
      <c r="H24" s="461">
        <f t="shared" si="8"/>
        <v>0</v>
      </c>
      <c r="I24" s="461">
        <f t="shared" si="9"/>
        <v>0</v>
      </c>
      <c r="J24" s="461">
        <f t="shared" si="10"/>
        <v>39.739025558446393</v>
      </c>
      <c r="K24" s="461">
        <f t="shared" si="11"/>
        <v>0</v>
      </c>
      <c r="L24" s="461">
        <f t="shared" si="12"/>
        <v>0</v>
      </c>
      <c r="M24" s="461">
        <f t="shared" si="13"/>
        <v>0</v>
      </c>
      <c r="N24" s="461">
        <f t="shared" si="14"/>
        <v>0</v>
      </c>
      <c r="O24" s="461">
        <f t="shared" si="15"/>
        <v>0</v>
      </c>
      <c r="P24" s="462">
        <f t="shared" si="16"/>
        <v>0</v>
      </c>
      <c r="Q24" s="460">
        <f t="shared" ca="1" si="17"/>
        <v>2666.3175300217572</v>
      </c>
    </row>
    <row r="25" spans="1:17">
      <c r="A25" s="460" t="s">
        <v>656</v>
      </c>
      <c r="B25" s="461">
        <f t="shared" ca="1" si="2"/>
        <v>1165.2836951779586</v>
      </c>
      <c r="C25" s="461">
        <f t="shared" ca="1" si="3"/>
        <v>0</v>
      </c>
      <c r="D25" s="461">
        <f t="shared" si="4"/>
        <v>737.96844315955639</v>
      </c>
      <c r="E25" s="461">
        <f t="shared" si="5"/>
        <v>14.620769279474247</v>
      </c>
      <c r="F25" s="461">
        <f t="shared" si="6"/>
        <v>490.71634578834102</v>
      </c>
      <c r="G25" s="461">
        <f t="shared" si="7"/>
        <v>0</v>
      </c>
      <c r="H25" s="461">
        <f t="shared" si="8"/>
        <v>0</v>
      </c>
      <c r="I25" s="461">
        <f t="shared" si="9"/>
        <v>0</v>
      </c>
      <c r="J25" s="461">
        <f t="shared" si="10"/>
        <v>7.5658418922818349</v>
      </c>
      <c r="K25" s="461">
        <f t="shared" si="11"/>
        <v>0</v>
      </c>
      <c r="L25" s="461">
        <f t="shared" si="12"/>
        <v>0</v>
      </c>
      <c r="M25" s="461">
        <f t="shared" si="13"/>
        <v>0</v>
      </c>
      <c r="N25" s="461">
        <f t="shared" si="14"/>
        <v>0</v>
      </c>
      <c r="O25" s="461">
        <f t="shared" si="15"/>
        <v>0</v>
      </c>
      <c r="P25" s="462">
        <f t="shared" si="16"/>
        <v>0</v>
      </c>
      <c r="Q25" s="460">
        <f t="shared" ca="1" si="17"/>
        <v>2416.1550952976122</v>
      </c>
    </row>
    <row r="26" spans="1:17" s="466" customFormat="1">
      <c r="A26" s="464" t="s">
        <v>574</v>
      </c>
      <c r="B26" s="822">
        <f t="shared" ca="1" si="2"/>
        <v>0.13969667922997456</v>
      </c>
      <c r="C26" s="465">
        <f t="shared" ca="1" si="3"/>
        <v>0</v>
      </c>
      <c r="D26" s="465">
        <f t="shared" si="4"/>
        <v>0.5838022058529414</v>
      </c>
      <c r="E26" s="465">
        <f t="shared" si="5"/>
        <v>77.404751542509331</v>
      </c>
      <c r="F26" s="465">
        <f t="shared" si="6"/>
        <v>0</v>
      </c>
      <c r="G26" s="465">
        <f t="shared" si="7"/>
        <v>20857.596632338915</v>
      </c>
      <c r="H26" s="465">
        <f t="shared" si="8"/>
        <v>2495.1632374041178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23430.888120170624</v>
      </c>
    </row>
    <row r="27" spans="1:17">
      <c r="A27" s="460" t="s">
        <v>564</v>
      </c>
      <c r="B27" s="461">
        <f t="shared" ca="1" si="2"/>
        <v>176.33943888494605</v>
      </c>
      <c r="C27" s="461">
        <f t="shared" ca="1" si="3"/>
        <v>0</v>
      </c>
      <c r="D27" s="461">
        <f t="shared" si="4"/>
        <v>0</v>
      </c>
      <c r="E27" s="461">
        <f t="shared" si="5"/>
        <v>0</v>
      </c>
      <c r="F27" s="461">
        <f t="shared" si="6"/>
        <v>0</v>
      </c>
      <c r="G27" s="461">
        <f t="shared" si="7"/>
        <v>199.74951617377823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376.08895505872431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17829.662294934245</v>
      </c>
      <c r="C31" s="471">
        <f t="shared" ca="1" si="18"/>
        <v>0</v>
      </c>
      <c r="D31" s="471">
        <f t="shared" ca="1" si="18"/>
        <v>19456.016237990134</v>
      </c>
      <c r="E31" s="471">
        <f t="shared" si="18"/>
        <v>536.94435870885854</v>
      </c>
      <c r="F31" s="471">
        <f t="shared" ca="1" si="18"/>
        <v>4048.5507052867465</v>
      </c>
      <c r="G31" s="471">
        <f t="shared" si="18"/>
        <v>21057.346148512694</v>
      </c>
      <c r="H31" s="471">
        <f t="shared" si="18"/>
        <v>2495.1632374041178</v>
      </c>
      <c r="I31" s="471">
        <f t="shared" si="18"/>
        <v>0</v>
      </c>
      <c r="J31" s="471">
        <f t="shared" si="18"/>
        <v>47.304867450728224</v>
      </c>
      <c r="K31" s="471">
        <f t="shared" si="18"/>
        <v>0</v>
      </c>
      <c r="L31" s="471">
        <f t="shared" ca="1" si="18"/>
        <v>0</v>
      </c>
      <c r="M31" s="471">
        <f t="shared" si="18"/>
        <v>0</v>
      </c>
      <c r="N31" s="471">
        <f t="shared" ca="1" si="18"/>
        <v>0</v>
      </c>
      <c r="O31" s="471">
        <f t="shared" si="18"/>
        <v>0</v>
      </c>
      <c r="P31" s="472">
        <f t="shared" si="18"/>
        <v>0</v>
      </c>
      <c r="Q31" s="472">
        <f t="shared" ca="1" si="18"/>
        <v>65470.987850287529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0.21887341215723249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0.21887341215723249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0.21887341215723249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2018-06-27T09:01:55Z</dcterms:modified>
</cp:coreProperties>
</file>