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I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G31" i="20"/>
  <c r="H43" i="14" s="1"/>
  <c r="F7" i="48"/>
  <c r="F24" s="1"/>
  <c r="L30"/>
  <c r="B100" i="18"/>
  <c r="C7" s="1"/>
  <c r="B35" i="13"/>
  <c r="B47" s="1"/>
  <c r="I69" i="14"/>
  <c r="J12" i="17"/>
  <c r="K48" i="14" s="1"/>
  <c r="F12" i="17"/>
  <c r="G48" i="14" s="1"/>
  <c r="F100" i="18"/>
  <c r="E9"/>
  <c r="J41" i="14"/>
  <c r="J53" s="1"/>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18" i="16"/>
  <c r="D22" s="1"/>
  <c r="E39" i="14" s="1"/>
  <c r="M22"/>
  <c r="M16" i="18"/>
  <c r="M19" s="1"/>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R22" s="1"/>
  <c r="N7" i="48"/>
  <c r="N24" s="1"/>
  <c r="N12" i="17"/>
  <c r="O48" i="14" s="1"/>
  <c r="D67"/>
  <c r="C9" i="18"/>
  <c r="E13" i="14"/>
  <c r="L12" i="17"/>
  <c r="M48" i="14" s="1"/>
  <c r="C14" i="48"/>
  <c r="Q13"/>
  <c r="D8"/>
  <c r="D25" s="1"/>
  <c r="D31"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Q7" i="48"/>
  <c r="J5"/>
  <c r="J22" s="1"/>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55" s="1"/>
  <c r="F22" i="16"/>
  <c r="G39" i="14" s="1"/>
  <c r="G41" s="1"/>
  <c r="N22" i="16"/>
  <c r="O39" i="14" s="1"/>
  <c r="O41" s="1"/>
  <c r="N25" i="48"/>
  <c r="N31" s="1"/>
  <c r="N14"/>
  <c r="E8"/>
  <c r="Q8"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<sst xmlns="http://schemas.openxmlformats.org/spreadsheetml/2006/main" count="2029" uniqueCount="894">
  <si>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</si>
  <si>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</si>
  <si>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</si>
  <si>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</si>
  <si>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</si>
  <si>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</si>
  <si>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</si>
  <si>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</si>
  <si>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</si>
  <si>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</si>
  <si>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</si>
  <si>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</si>
  <si>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</si>
  <si>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</si>
  <si>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</si>
  <si>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</si>
  <si>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</si>
  <si>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</si>
  <si>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</si>
  <si>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</si>
  <si>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</si>
  <si>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</si>
  <si>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</si>
  <si>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</si>
  <si>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</si>
  <si>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</si>
  <si>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</si>
  <si>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</si>
  <si>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</si>
  <si>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</si>
  <si>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</si>
  <si>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</si>
  <si>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</si>
  <si>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</si>
  <si>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</si>
  <si>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</si>
  <si>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</si>
  <si>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</si>
  <si>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</si>
  <si>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</si>
  <si>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</si>
  <si>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</si>
  <si>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</si>
  <si>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</si>
  <si>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</si>
  <si>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</si>
  <si>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</si>
  <si>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</si>
  <si>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</si>
  <si>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</si>
  <si>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</si>
  <si>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</si>
  <si>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</si>
  <si>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</si>
  <si>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</si>
  <si>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</si>
  <si>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</si>
  <si>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</si>
  <si>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</si>
  <si>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</si>
  <si>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</si>
  <si>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</si>
  <si>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</si>
  <si>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</si>
  <si>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</si>
  <si>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</si>
  <si>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</si>
  <si>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</si>
  <si>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</si>
  <si>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</si>
  <si>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</si>
  <si>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</si>
  <si>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</si>
  <si>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</si>
  <si>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</si>
  <si>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</si>
  <si>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</si>
  <si>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</si>
  <si>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</si>
  <si>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</si>
  <si>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</si>
  <si>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</si>
  <si>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</si>
  <si>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</si>
  <si>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</si>
  <si>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</si>
  <si>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</si>
  <si>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</si>
  <si>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</si>
  <si>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</si>
  <si>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</si>
  <si>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</si>
  <si>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</si>
  <si>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</si>
  <si>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</si>
  <si>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</si>
  <si>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</si>
  <si>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</si>
  <si>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</si>
  <si>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</si>
  <si>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</si>
  <si>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</si>
  <si>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</si>
  <si>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</si>
  <si>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</si>
  <si>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</si>
  <si>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</si>
  <si>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</si>
  <si>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</si>
  <si>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</si>
  <si>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</si>
  <si>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</si>
  <si>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</si>
  <si>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</si>
  <si>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</si>
  <si>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</si>
  <si>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</si>
  <si>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</si>
  <si>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</si>
  <si>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</si>
  <si>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</si>
  <si>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</si>
  <si>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</si>
  <si>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</si>
  <si>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</si>
  <si>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</si>
  <si>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</si>
  <si>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</si>
  <si>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</si>
  <si>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</si>
  <si>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</si>
  <si>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</si>
  <si>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</si>
  <si>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</si>
  <si>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</si>
  <si>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</si>
  <si>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</si>
  <si>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</si>
  <si>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</si>
  <si>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</si>
  <si>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</si>
  <si>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</si>
  <si>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</si>
  <si>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</si>
  <si>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</si>
  <si>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</si>
  <si>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</si>
  <si>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</si>
  <si>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</si>
  <si>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</si>
  <si>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</si>
  <si>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</si>
  <si>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</si>
  <si>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</si>
  <si>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</si>
  <si>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</si>
  <si>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</si>
  <si>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</si>
  <si>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</si>
  <si>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</si>
  <si>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</si>
  <si>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</si>
  <si>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</si>
  <si>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</si>
  <si>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</si>
  <si>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</si>
  <si>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</si>
  <si>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</si>
  <si>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</si>
  <si>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</si>
  <si>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</si>
  <si>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</si>
  <si>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</si>
  <si>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</si>
  <si>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</si>
  <si>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</si>
  <si>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</si>
  <si>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</si>
  <si>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</si>
  <si>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</si>
  <si>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</si>
  <si>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</si>
  <si>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</si>
  <si>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</si>
  <si>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</si>
  <si>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</si>
  <si>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</si>
  <si>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</si>
  <si>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</si>
  <si>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</si>
  <si>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</si>
  <si>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</si>
  <si>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</si>
  <si>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</si>
  <si>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</si>
  <si>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</si>
  <si>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</si>
  <si>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</si>
  <si>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</si>
  <si>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</si>
  <si>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</si>
  <si>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</si>
  <si>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</si>
  <si>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</si>
  <si>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</si>
  <si>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</si>
  <si>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</si>
  <si>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</si>
  <si>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</si>
  <si>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</si>
  <si>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</si>
  <si>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</si>
  <si>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</si>
  <si>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</si>
  <si>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</si>
  <si>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</si>
  <si>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</si>
  <si>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</si>
  <si>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</si>
  <si>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</si>
  <si>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</si>
  <si>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</si>
  <si>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</si>
  <si>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</si>
  <si>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</si>
  <si>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</si>
  <si>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</si>
  <si>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</si>
  <si>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</si>
  <si>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</si>
  <si>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</si>
  <si>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</si>
  <si>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</si>
  <si>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</si>
  <si>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</si>
  <si>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</si>
  <si>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</si>
  <si>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</si>
  <si>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</si>
  <si>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</si>
  <si>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</si>
  <si>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</si>
  <si>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</si>
  <si>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</si>
  <si>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</si>
  <si>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</si>
  <si>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</si>
  <si>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</si>
  <si>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</si>
  <si>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</si>
  <si>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</si>
  <si>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</si>
  <si>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</si>
  <si>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</si>
  <si>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</si>
  <si>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</si>
  <si>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</si>
  <si>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</si>
  <si>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</si>
  <si>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</si>
  <si>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</si>
  <si>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</si>
  <si>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</si>
  <si>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</si>
  <si>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</si>
  <si>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</si>
  <si>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</si>
  <si>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</si>
  <si>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</si>
  <si>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</si>
  <si>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</si>
  <si>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</si>
  <si>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</si>
  <si>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</si>
  <si>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</si>
  <si>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</si>
  <si>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</si>
  <si>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</si>
  <si>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</si>
  <si>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</si>
  <si>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</si>
  <si>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</si>
  <si>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</si>
  <si>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</si>
  <si>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</si>
  <si>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</si>
  <si>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</si>
  <si>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</si>
  <si>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</si>
  <si>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</si>
  <si>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</si>
  <si>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</si>
  <si>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</si>
  <si>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</si>
  <si>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</si>
  <si>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</si>
  <si>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</si>
  <si>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</si>
  <si>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</si>
  <si>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</si>
  <si>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</si>
  <si>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</si>
  <si>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</si>
  <si>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</si>
  <si>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</si>
  <si>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</si>
  <si>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</si>
  <si>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</si>
  <si>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</si>
  <si>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</si>
  <si>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</si>
  <si>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</si>
  <si>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</si>
  <si>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</si>
  <si>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</si>
  <si>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</si>
  <si>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</si>
  <si>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</si>
  <si>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</si>
  <si>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</si>
  <si>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</si>
  <si>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</si>
  <si>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</si>
  <si>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</si>
  <si>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</si>
  <si>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</si>
  <si>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</si>
  <si>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</si>
  <si>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</si>
  <si>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</si>
  <si>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</si>
  <si>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</si>
  <si>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</si>
  <si>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</si>
  <si>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</si>
  <si>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</si>
  <si>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</si>
  <si>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</si>
  <si>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</si>
  <si>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</si>
  <si>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</si>
  <si>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</si>
  <si>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</si>
  <si>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</si>
  <si>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</si>
  <si>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</si>
  <si>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</si>
  <si>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</si>
  <si>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</si>
  <si>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</si>
  <si>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</si>
  <si>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</si>
  <si>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</si>
  <si>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</si>
  <si>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</si>
  <si>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</si>
  <si>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</si>
  <si>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</si>
  <si>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</si>
  <si>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</si>
  <si>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</si>
  <si>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</si>
  <si>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</si>
  <si>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</si>
  <si>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</si>
  <si>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</si>
  <si>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</si>
  <si>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</si>
  <si>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</si>
  <si>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</si>
  <si>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</si>
  <si>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</si>
  <si>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</si>
  <si>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</si>
  <si>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</si>
  <si>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</si>
  <si>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</si>
  <si>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</si>
  <si>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</si>
  <si>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</si>
  <si>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</si>
  <si>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</si>
  <si>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</si>
  <si>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</si>
  <si>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</si>
  <si>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</si>
  <si>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</si>
  <si>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</si>
  <si>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</si>
  <si>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</si>
  <si>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</si>
  <si>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</si>
  <si>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</si>
  <si>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</si>
  <si>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</si>
  <si>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</si>
  <si>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</si>
  <si>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</si>
  <si>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</si>
  <si>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</si>
  <si>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</si>
  <si>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</si>
  <si>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</si>
  <si>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</si>
  <si>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</si>
  <si>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</si>
  <si>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</si>
  <si>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</si>
  <si>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</si>
  <si>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</si>
  <si>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</si>
  <si>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</si>
  <si>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</si>
  <si>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</si>
  <si>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</si>
  <si>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</si>
  <si>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</si>
  <si>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</si>
  <si>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</si>
  <si>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</si>
  <si>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</si>
  <si>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</si>
  <si>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</si>
  <si>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</si>
  <si>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</si>
  <si>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</si>
  <si>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</si>
  <si>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</si>
  <si>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</si>
  <si>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</si>
  <si>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</si>
  <si>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</si>
  <si>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</si>
  <si>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</si>
  <si>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</si>
  <si>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</si>
  <si>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</si>
  <si>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</si>
  <si>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</si>
  <si>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</si>
  <si>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</si>
  <si>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</si>
  <si>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</si>
  <si>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</si>
  <si>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</si>
  <si>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</si>
  <si>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</si>
  <si>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</si>
  <si>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</si>
  <si>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</si>
  <si>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</si>
  <si>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</si>
  <si>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</si>
  <si>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</si>
  <si>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</si>
  <si>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</si>
  <si>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</si>
  <si>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</si>
  <si>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</si>
  <si>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</si>
  <si>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</si>
  <si>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</si>
  <si>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</si>
  <si>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</si>
  <si>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</si>
  <si>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</si>
  <si>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</si>
  <si>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</si>
  <si>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</si>
  <si>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</si>
  <si>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</si>
  <si>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</si>
  <si>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</si>
  <si>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</si>
  <si>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</si>
  <si>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</si>
  <si>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</si>
  <si>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</si>
  <si>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</si>
  <si>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</si>
  <si>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</si>
  <si>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</si>
  <si>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</si>
  <si>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</si>
  <si>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</si>
  <si>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</si>
  <si>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</si>
  <si>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</si>
  <si>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</si>
  <si>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</si>
  <si>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</si>
  <si>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</si>
  <si>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</si>
  <si>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</si>
  <si>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</si>
  <si>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</si>
  <si>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</si>
  <si>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</si>
  <si>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</si>
  <si>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</si>
  <si>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</si>
  <si>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</si>
  <si>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</si>
  <si>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</si>
  <si>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</si>
  <si>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</si>
  <si>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</si>
  <si>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</si>
  <si>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</si>
  <si>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</si>
  <si>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</si>
  <si>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</si>
  <si>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</si>
  <si>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</si>
  <si>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</si>
  <si>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</si>
  <si>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</si>
  <si>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</si>
  <si>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</si>
  <si>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</si>
  <si>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</si>
  <si>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</si>
  <si>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</si>
  <si>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</si>
  <si>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</si>
  <si>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</si>
  <si>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</si>
  <si>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</si>
  <si>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</si>
  <si>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</si>
  <si>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</si>
  <si>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</si>
  <si>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</si>
  <si>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</si>
  <si>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</si>
  <si>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</si>
  <si>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</si>
  <si>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</si>
  <si>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</si>
  <si>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</si>
  <si>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</si>
  <si>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</si>
  <si>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</si>
  <si>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</si>
  <si>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</si>
  <si>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</si>
  <si>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</si>
  <si>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</si>
  <si>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</si>
  <si>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</si>
  <si>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</si>
  <si>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</si>
  <si>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</si>
  <si>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</si>
  <si>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</si>
  <si>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</si>
  <si>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</si>
  <si>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</si>
  <si>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</si>
  <si>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</si>
  <si>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</si>
  <si>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</si>
  <si>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</si>
  <si>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</si>
  <si>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</si>
  <si>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</si>
  <si>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</si>
  <si>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</si>
  <si>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</si>
  <si>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</si>
  <si>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</si>
  <si>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</si>
  <si>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</si>
  <si>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</si>
  <si>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</si>
  <si>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</si>
  <si>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</si>
  <si>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</si>
  <si>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</si>
  <si>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</si>
  <si>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</si>
  <si>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</si>
  <si>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</si>
  <si>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</si>
  <si>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</si>
  <si>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</si>
  <si>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</si>
  <si>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</si>
  <si>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</si>
  <si>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</si>
  <si>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</si>
  <si>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</si>
  <si>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</si>
  <si>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</si>
  <si>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</si>
  <si>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</si>
  <si>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</si>
  <si>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</si>
  <si>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</si>
  <si>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</si>
  <si>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</si>
  <si>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</si>
  <si>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</si>
  <si>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</si>
  <si>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</si>
  <si>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</si>
  <si>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</si>
  <si>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</si>
  <si>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</si>
  <si>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</si>
  <si>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</si>
  <si>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</si>
  <si>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</si>
  <si>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</si>
  <si>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</si>
  <si>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</si>
  <si>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</si>
  <si>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</si>
  <si>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</si>
  <si>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</si>
  <si>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</si>
  <si>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</si>
  <si>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</si>
  <si>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</si>
  <si>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</si>
  <si>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</si>
  <si>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</si>
  <si>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</si>
  <si>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</si>
  <si>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</si>
  <si>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</si>
  <si>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</si>
  <si>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</si>
  <si>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</si>
  <si>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</si>
  <si>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</si>
  <si>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</si>
  <si>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</si>
  <si>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</si>
  <si>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</si>
  <si>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</si>
  <si>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</si>
  <si>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</si>
  <si>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</si>
  <si>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</si>
  <si>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</si>
  <si>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</si>
  <si>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</si>
  <si>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</si>
  <si>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</si>
  <si>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</si>
  <si>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</si>
  <si>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</si>
  <si>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</si>
  <si>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</si>
  <si>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</si>
  <si>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</si>
  <si>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</si>
  <si>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</si>
  <si>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</si>
  <si>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</si>
  <si>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</si>
  <si>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</si>
  <si>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</si>
  <si>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</si>
  <si>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</si>
  <si>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</si>
  <si>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</si>
  <si>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</si>
  <si>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</si>
  <si>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</si>
  <si>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</si>
  <si>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</si>
  <si>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</si>
  <si>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</si>
  <si>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</si>
  <si>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</si>
  <si>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</si>
  <si>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</si>
  <si>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</si>
  <si>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</si>
  <si>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</si>
  <si>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</si>
  <si>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</si>
  <si>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</si>
  <si>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</si>
  <si>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</si>
  <si>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</si>
  <si>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</si>
  <si>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</si>
  <si>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</si>
  <si>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</si>
  <si>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</si>
  <si>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</si>
  <si>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</si>
  <si>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</si>
  <si>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</si>
  <si>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</si>
  <si>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</si>
  <si>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</si>
  <si>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</si>
  <si>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</si>
  <si>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</si>
  <si>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</si>
  <si>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</si>
  <si>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</si>
  <si>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</si>
  <si>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</si>
  <si>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</si>
  <si>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</si>
  <si>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</si>
  <si>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</si>
  <si>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</si>
  <si>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</si>
  <si>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</si>
  <si>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</si>
  <si>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</si>
  <si>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</si>
  <si>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</si>
  <si>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</si>
  <si>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</si>
  <si>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</si>
  <si>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</si>
  <si>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</si>
  <si>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</si>
  <si>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</si>
  <si>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</si>
  <si>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</si>
  <si>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</si>
  <si>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</si>
  <si>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</si>
  <si>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</si>
  <si>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</si>
  <si>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</si>
  <si>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</si>
  <si>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</si>
  <si>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</si>
  <si>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</si>
  <si>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</si>
  <si>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</si>
  <si>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</si>
  <si>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</si>
  <si>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</si>
  <si>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</si>
  <si>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</si>
  <si>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</si>
  <si>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</si>
  <si>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</si>
  <si>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</si>
  <si>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</si>
  <si>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</si>
  <si>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</si>
  <si>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</si>
  <si>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</si>
  <si>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</si>
  <si>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</si>
  <si>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</si>
  <si>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</si>
  <si>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</si>
  <si>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</si>
  <si>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</si>
  <si>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</si>
  <si>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</si>
  <si>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</si>
  <si>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</si>
  <si>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</si>
  <si>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</si>
  <si>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</si>
  <si>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</si>
  <si>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</si>
  <si>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</si>
  <si>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</si>
  <si>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</si>
  <si>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</si>
  <si>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</si>
  <si>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</si>
  <si>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</si>
  <si>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</si>
  <si>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</si>
  <si>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</si>
  <si>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</si>
  <si>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</si>
  <si>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</si>
  <si>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</si>
  <si>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</si>
  <si>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</si>
  <si>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</si>
  <si>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</si>
  <si>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</si>
  <si>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</si>
  <si>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</si>
  <si>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</si>
  <si>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</si>
  <si>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</si>
  <si>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</si>
  <si>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</si>
  <si>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</si>
  <si>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</si>
  <si>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</si>
  <si>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</si>
  <si>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</si>
  <si>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</si>
  <si>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</si>
  <si>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</si>
  <si>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</si>
  <si>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</si>
  <si>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</si>
  <si>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</si>
  <si>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</si>
  <si>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</si>
  <si>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</si>
  <si>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</si>
  <si>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</si>
  <si>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</si>
  <si>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</si>
  <si>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</si>
  <si>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</si>
  <si>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</si>
  <si>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</si>
  <si>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</si>
  <si>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</si>
  <si>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</si>
  <si>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</si>
  <si>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</si>
  <si>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</si>
  <si>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</si>
  <si>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</si>
  <si>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</si>
  <si>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</si>
  <si>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</si>
  <si>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</si>
  <si>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</si>
  <si>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</si>
  <si>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</si>
  <si>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</si>
  <si>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</si>
  <si>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</si>
  <si>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</si>
  <si>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</si>
  <si>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</si>
  <si>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</si>
  <si>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</si>
  <si>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</si>
  <si>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</si>
  <si>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</si>
  <si>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</si>
  <si>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</si>
  <si>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</si>
  <si>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</si>
  <si>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</si>
  <si>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</si>
  <si>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</si>
  <si>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</si>
  <si>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</si>
  <si>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</si>
  <si>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</si>
  <si>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</si>
  <si>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</si>
  <si>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</si>
  <si>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</si>
  <si>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</si>
  <si>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</si>
  <si>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</si>
  <si>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</si>
  <si>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</si>
  <si>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</si>
  <si>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</si>
  <si>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</si>
  <si>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</si>
  <si>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</si>
  <si>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</si>
  <si>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</si>
  <si>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</si>
  <si>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</si>
  <si>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</si>
  <si>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</si>
  <si>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</si>
  <si>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</si>
  <si>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</si>
  <si>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</si>
  <si>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</si>
  <si>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</si>
  <si>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</si>
  <si>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</si>
  <si>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</si>
  <si>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38014</t>
  </si>
  <si>
    <t>KOKSIJDE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</si>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</sst>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38014</v>
      </c>
      <c r="B6" s="396"/>
      <c r="C6" s="397"/>
    </row>
    <row r="7" spans="1:7" s="394" customFormat="1" ht="15.75" customHeight="1">
      <c r="A7" s="398" t="str">
        <f>txtMunicipality</f>
        <v>KOKSIJDE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38014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10811</v>
      </c>
      <c r="C9" s="336">
        <v>11661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2289</v>
      </c>
    </row>
    <row r="15" spans="1:6">
      <c r="A15" s="1194" t="s">
        <v>185</v>
      </c>
      <c r="B15" s="333">
        <v>8</v>
      </c>
    </row>
    <row r="16" spans="1:6">
      <c r="A16" s="1194" t="s">
        <v>6</v>
      </c>
      <c r="B16" s="333">
        <v>211</v>
      </c>
    </row>
    <row r="17" spans="1:6">
      <c r="A17" s="1194" t="s">
        <v>7</v>
      </c>
      <c r="B17" s="333">
        <v>165</v>
      </c>
    </row>
    <row r="18" spans="1:6">
      <c r="A18" s="1194" t="s">
        <v>8</v>
      </c>
      <c r="B18" s="333">
        <v>239</v>
      </c>
    </row>
    <row r="19" spans="1:6">
      <c r="A19" s="1194" t="s">
        <v>9</v>
      </c>
      <c r="B19" s="333">
        <v>258</v>
      </c>
    </row>
    <row r="20" spans="1:6">
      <c r="A20" s="1194" t="s">
        <v>10</v>
      </c>
      <c r="B20" s="333">
        <v>500</v>
      </c>
    </row>
    <row r="21" spans="1:6">
      <c r="A21" s="1194" t="s">
        <v>11</v>
      </c>
      <c r="B21" s="333">
        <v>4569</v>
      </c>
    </row>
    <row r="22" spans="1:6">
      <c r="A22" s="1194" t="s">
        <v>12</v>
      </c>
      <c r="B22" s="333">
        <v>7139</v>
      </c>
    </row>
    <row r="23" spans="1:6">
      <c r="A23" s="1194" t="s">
        <v>13</v>
      </c>
      <c r="B23" s="333">
        <v>178</v>
      </c>
    </row>
    <row r="24" spans="1:6">
      <c r="A24" s="1194" t="s">
        <v>14</v>
      </c>
      <c r="B24" s="333">
        <v>75</v>
      </c>
    </row>
    <row r="25" spans="1:6">
      <c r="A25" s="1194" t="s">
        <v>15</v>
      </c>
      <c r="B25" s="333">
        <v>1155</v>
      </c>
    </row>
    <row r="26" spans="1:6">
      <c r="A26" s="1194" t="s">
        <v>16</v>
      </c>
      <c r="B26" s="333">
        <v>67</v>
      </c>
    </row>
    <row r="27" spans="1:6">
      <c r="A27" s="1194" t="s">
        <v>17</v>
      </c>
      <c r="B27" s="333">
        <v>0</v>
      </c>
    </row>
    <row r="28" spans="1:6">
      <c r="A28" s="1194" t="s">
        <v>18</v>
      </c>
      <c r="B28" s="333">
        <v>144049</v>
      </c>
    </row>
    <row r="29" spans="1:6">
      <c r="A29" s="1194" t="s">
        <v>888</v>
      </c>
      <c r="B29" s="333">
        <v>223</v>
      </c>
    </row>
    <row r="30" spans="1:6">
      <c r="A30" s="1190" t="s">
        <v>889</v>
      </c>
      <c r="B30" s="1190">
        <v>38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7</v>
      </c>
      <c r="D36" s="333">
        <v>1345762.9362864001</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4</v>
      </c>
      <c r="F38" s="333">
        <v>6386.1255231957002</v>
      </c>
    </row>
    <row r="39" spans="1:6">
      <c r="A39" s="1194" t="s">
        <v>30</v>
      </c>
      <c r="B39" s="1194" t="s">
        <v>31</v>
      </c>
      <c r="C39" s="333">
        <v>12760</v>
      </c>
      <c r="D39" s="333">
        <v>140001123.22308901</v>
      </c>
      <c r="E39" s="333">
        <v>24298</v>
      </c>
      <c r="F39" s="333">
        <v>61304445.251727499</v>
      </c>
    </row>
    <row r="40" spans="1:6">
      <c r="A40" s="1194" t="s">
        <v>30</v>
      </c>
      <c r="B40" s="1194" t="s">
        <v>29</v>
      </c>
      <c r="C40" s="333">
        <v>0</v>
      </c>
      <c r="D40" s="333">
        <v>0</v>
      </c>
      <c r="E40" s="333">
        <v>0</v>
      </c>
      <c r="F40" s="333">
        <v>0</v>
      </c>
    </row>
    <row r="41" spans="1:6">
      <c r="A41" s="1194" t="s">
        <v>32</v>
      </c>
      <c r="B41" s="1194" t="s">
        <v>33</v>
      </c>
      <c r="C41" s="333">
        <v>120</v>
      </c>
      <c r="D41" s="333">
        <v>2613911.59958304</v>
      </c>
      <c r="E41" s="333">
        <v>288</v>
      </c>
      <c r="F41" s="333">
        <v>1601956.40579912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13135.777325118501</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5</v>
      </c>
      <c r="D47" s="333">
        <v>108135.183337259</v>
      </c>
      <c r="E47" s="333">
        <v>6</v>
      </c>
      <c r="F47" s="333">
        <v>26294.0849065332</v>
      </c>
    </row>
    <row r="48" spans="1:6">
      <c r="A48" s="1194" t="s">
        <v>32</v>
      </c>
      <c r="B48" s="1194" t="s">
        <v>29</v>
      </c>
      <c r="C48" s="333">
        <v>20</v>
      </c>
      <c r="D48" s="333">
        <v>480588.51454550697</v>
      </c>
      <c r="E48" s="333">
        <v>42</v>
      </c>
      <c r="F48" s="333">
        <v>214127.70073064999</v>
      </c>
    </row>
    <row r="49" spans="1:6">
      <c r="A49" s="1194" t="s">
        <v>32</v>
      </c>
      <c r="B49" s="1194" t="s">
        <v>40</v>
      </c>
      <c r="C49" s="333">
        <v>0</v>
      </c>
      <c r="D49" s="333">
        <v>0</v>
      </c>
      <c r="E49" s="333">
        <v>3</v>
      </c>
      <c r="F49" s="333">
        <v>7302.7796954080004</v>
      </c>
    </row>
    <row r="50" spans="1:6">
      <c r="A50" s="1194" t="s">
        <v>32</v>
      </c>
      <c r="B50" s="1194" t="s">
        <v>41</v>
      </c>
      <c r="C50" s="333">
        <v>21</v>
      </c>
      <c r="D50" s="333">
        <v>1143009.7338040101</v>
      </c>
      <c r="E50" s="333">
        <v>28</v>
      </c>
      <c r="F50" s="333">
        <v>934522.94098761701</v>
      </c>
    </row>
    <row r="51" spans="1:6">
      <c r="A51" s="1194" t="s">
        <v>42</v>
      </c>
      <c r="B51" s="1194" t="s">
        <v>43</v>
      </c>
      <c r="C51" s="333">
        <v>7</v>
      </c>
      <c r="D51" s="333">
        <v>41657.916965998702</v>
      </c>
      <c r="E51" s="333">
        <v>62</v>
      </c>
      <c r="F51" s="333">
        <v>952752.55184911506</v>
      </c>
    </row>
    <row r="52" spans="1:6">
      <c r="A52" s="1194" t="s">
        <v>42</v>
      </c>
      <c r="B52" s="1194" t="s">
        <v>29</v>
      </c>
      <c r="C52" s="333">
        <v>7</v>
      </c>
      <c r="D52" s="333">
        <v>164955.10480121401</v>
      </c>
      <c r="E52" s="333">
        <v>9</v>
      </c>
      <c r="F52" s="333">
        <v>146069.80810959401</v>
      </c>
    </row>
    <row r="53" spans="1:6">
      <c r="A53" s="1194" t="s">
        <v>44</v>
      </c>
      <c r="B53" s="1194" t="s">
        <v>45</v>
      </c>
      <c r="C53" s="333">
        <v>440</v>
      </c>
      <c r="D53" s="333">
        <v>7001353.3497990696</v>
      </c>
      <c r="E53" s="333">
        <v>1208</v>
      </c>
      <c r="F53" s="333">
        <v>4553269.7323101601</v>
      </c>
    </row>
    <row r="54" spans="1:6">
      <c r="A54" s="1194" t="s">
        <v>46</v>
      </c>
      <c r="B54" s="1194" t="s">
        <v>47</v>
      </c>
      <c r="C54" s="333">
        <v>0</v>
      </c>
      <c r="D54" s="333">
        <v>0</v>
      </c>
      <c r="E54" s="333">
        <v>1</v>
      </c>
      <c r="F54" s="333">
        <v>3402754</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55</v>
      </c>
      <c r="D57" s="333">
        <v>1719650.7880380501</v>
      </c>
      <c r="E57" s="333">
        <v>136</v>
      </c>
      <c r="F57" s="333">
        <v>6654095.6375227403</v>
      </c>
    </row>
    <row r="58" spans="1:6">
      <c r="A58" s="1194" t="s">
        <v>49</v>
      </c>
      <c r="B58" s="1194" t="s">
        <v>51</v>
      </c>
      <c r="C58" s="333">
        <v>52</v>
      </c>
      <c r="D58" s="333">
        <v>1400394.8593810501</v>
      </c>
      <c r="E58" s="333">
        <v>96</v>
      </c>
      <c r="F58" s="333">
        <v>801082.222795079</v>
      </c>
    </row>
    <row r="59" spans="1:6">
      <c r="A59" s="1194" t="s">
        <v>49</v>
      </c>
      <c r="B59" s="1194" t="s">
        <v>52</v>
      </c>
      <c r="C59" s="333">
        <v>253</v>
      </c>
      <c r="D59" s="333">
        <v>5807918.6808881303</v>
      </c>
      <c r="E59" s="333">
        <v>529</v>
      </c>
      <c r="F59" s="333">
        <v>11423572.4531221</v>
      </c>
    </row>
    <row r="60" spans="1:6">
      <c r="A60" s="1194" t="s">
        <v>49</v>
      </c>
      <c r="B60" s="1194" t="s">
        <v>53</v>
      </c>
      <c r="C60" s="333">
        <v>596</v>
      </c>
      <c r="D60" s="333">
        <v>23971761.544875499</v>
      </c>
      <c r="E60" s="333">
        <v>582</v>
      </c>
      <c r="F60" s="333">
        <v>13257281.086839501</v>
      </c>
    </row>
    <row r="61" spans="1:6">
      <c r="A61" s="1194" t="s">
        <v>49</v>
      </c>
      <c r="B61" s="1194" t="s">
        <v>54</v>
      </c>
      <c r="C61" s="333">
        <v>767</v>
      </c>
      <c r="D61" s="333">
        <v>26341654.8774818</v>
      </c>
      <c r="E61" s="333">
        <v>2953</v>
      </c>
      <c r="F61" s="333">
        <v>15259258.1552245</v>
      </c>
    </row>
    <row r="62" spans="1:6">
      <c r="A62" s="1194" t="s">
        <v>49</v>
      </c>
      <c r="B62" s="1194" t="s">
        <v>55</v>
      </c>
      <c r="C62" s="333">
        <v>10</v>
      </c>
      <c r="D62" s="333">
        <v>2314116.7343535698</v>
      </c>
      <c r="E62" s="333">
        <v>20</v>
      </c>
      <c r="F62" s="333">
        <v>1289140.6709487</v>
      </c>
    </row>
    <row r="63" spans="1:6">
      <c r="A63" s="1194" t="s">
        <v>49</v>
      </c>
      <c r="B63" s="1194" t="s">
        <v>29</v>
      </c>
      <c r="C63" s="333">
        <v>106</v>
      </c>
      <c r="D63" s="333">
        <v>7775720.7792297099</v>
      </c>
      <c r="E63" s="333">
        <v>96</v>
      </c>
      <c r="F63" s="333">
        <v>4301112.8753973097</v>
      </c>
    </row>
    <row r="64" spans="1:6">
      <c r="A64" s="1194" t="s">
        <v>56</v>
      </c>
      <c r="B64" s="1194" t="s">
        <v>57</v>
      </c>
      <c r="C64" s="333">
        <v>0</v>
      </c>
      <c r="D64" s="333">
        <v>0</v>
      </c>
      <c r="E64" s="333">
        <v>0</v>
      </c>
      <c r="F64" s="333">
        <v>0</v>
      </c>
    </row>
    <row r="65" spans="1:6">
      <c r="A65" s="1194" t="s">
        <v>56</v>
      </c>
      <c r="B65" s="1194" t="s">
        <v>29</v>
      </c>
      <c r="C65" s="333">
        <v>2</v>
      </c>
      <c r="D65" s="333">
        <v>88348.977428284299</v>
      </c>
      <c r="E65" s="333">
        <v>3</v>
      </c>
      <c r="F65" s="333">
        <v>46510.572026515001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10</v>
      </c>
      <c r="D68" s="333">
        <v>87823.5284512949</v>
      </c>
      <c r="E68" s="333">
        <v>23</v>
      </c>
      <c r="F68" s="333">
        <v>671662.80498317804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79862698</v>
      </c>
      <c r="E73" s="333">
        <v>91517359.836604685</v>
      </c>
      <c r="F73" s="333">
        <v>79709147</v>
      </c>
    </row>
    <row r="74" spans="1:6">
      <c r="A74" s="1194" t="s">
        <v>64</v>
      </c>
      <c r="B74" s="1194" t="s">
        <v>775</v>
      </c>
      <c r="C74" s="1205" t="s">
        <v>776</v>
      </c>
      <c r="D74" s="333">
        <v>9096674.4745650142</v>
      </c>
      <c r="E74" s="333">
        <v>10488950.538261123</v>
      </c>
      <c r="F74" s="333">
        <v>9077229.5420864876</v>
      </c>
    </row>
    <row r="75" spans="1:6">
      <c r="A75" s="1194" t="s">
        <v>65</v>
      </c>
      <c r="B75" s="1194" t="s">
        <v>773</v>
      </c>
      <c r="C75" s="1205" t="s">
        <v>777</v>
      </c>
      <c r="D75" s="333">
        <v>6152830</v>
      </c>
      <c r="E75" s="333">
        <v>6737600.970772231</v>
      </c>
      <c r="F75" s="333">
        <v>6112140</v>
      </c>
    </row>
    <row r="76" spans="1:6">
      <c r="A76" s="1194" t="s">
        <v>65</v>
      </c>
      <c r="B76" s="1194" t="s">
        <v>775</v>
      </c>
      <c r="C76" s="1205" t="s">
        <v>778</v>
      </c>
      <c r="D76" s="333">
        <v>77011.474565013807</v>
      </c>
      <c r="E76" s="333">
        <v>124725.40553353674</v>
      </c>
      <c r="F76" s="333">
        <v>96061.542086487752</v>
      </c>
    </row>
    <row r="77" spans="1:6">
      <c r="A77" s="1194" t="s">
        <v>66</v>
      </c>
      <c r="B77" s="1194" t="s">
        <v>773</v>
      </c>
      <c r="C77" s="1205" t="s">
        <v>779</v>
      </c>
      <c r="D77" s="333">
        <v>12829168</v>
      </c>
      <c r="E77" s="333">
        <v>13985286.513891501</v>
      </c>
      <c r="F77" s="333">
        <v>14076856</v>
      </c>
    </row>
    <row r="78" spans="1:6">
      <c r="A78" s="1190" t="s">
        <v>66</v>
      </c>
      <c r="B78" s="1190" t="s">
        <v>775</v>
      </c>
      <c r="C78" s="1190" t="s">
        <v>780</v>
      </c>
      <c r="D78" s="1190">
        <v>4094208</v>
      </c>
      <c r="E78" s="1190">
        <v>5373030.847144709</v>
      </c>
      <c r="F78" s="336">
        <v>4890060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390407.05086997239</v>
      </c>
      <c r="C83" s="333">
        <v>351738.10482869518</v>
      </c>
      <c r="D83" s="333">
        <v>348760.9158270245</v>
      </c>
    </row>
    <row r="84" spans="1:6">
      <c r="A84" s="1190" t="s">
        <v>338</v>
      </c>
      <c r="B84" s="336">
        <v>376525.42213339859</v>
      </c>
      <c r="C84" s="336">
        <v>385129.99932499946</v>
      </c>
      <c r="D84" s="336">
        <v>381614.08445447381</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1301.0107692994218</v>
      </c>
    </row>
    <row r="92" spans="1:6">
      <c r="A92" s="1190" t="s">
        <v>69</v>
      </c>
      <c r="B92" s="336">
        <v>205.9994842275791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5266</v>
      </c>
    </row>
    <row r="98" spans="1:6">
      <c r="A98" s="1194" t="s">
        <v>72</v>
      </c>
      <c r="B98" s="333">
        <v>0</v>
      </c>
    </row>
    <row r="99" spans="1:6">
      <c r="A99" s="1194" t="s">
        <v>73</v>
      </c>
      <c r="B99" s="333">
        <v>87</v>
      </c>
    </row>
    <row r="100" spans="1:6">
      <c r="A100" s="1194" t="s">
        <v>74</v>
      </c>
      <c r="B100" s="333">
        <v>1499</v>
      </c>
    </row>
    <row r="101" spans="1:6">
      <c r="A101" s="1194" t="s">
        <v>75</v>
      </c>
      <c r="B101" s="333">
        <v>72</v>
      </c>
    </row>
    <row r="102" spans="1:6">
      <c r="A102" s="1194" t="s">
        <v>76</v>
      </c>
      <c r="B102" s="333">
        <v>190</v>
      </c>
    </row>
    <row r="103" spans="1:6">
      <c r="A103" s="1194" t="s">
        <v>77</v>
      </c>
      <c r="B103" s="333">
        <v>69</v>
      </c>
    </row>
    <row r="104" spans="1:6">
      <c r="A104" s="1194" t="s">
        <v>78</v>
      </c>
      <c r="B104" s="333">
        <v>1638</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15</v>
      </c>
      <c r="C123" s="333">
        <v>10</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45</v>
      </c>
    </row>
    <row r="130" spans="1:6">
      <c r="A130" s="1194" t="s">
        <v>296</v>
      </c>
      <c r="B130" s="333">
        <v>3</v>
      </c>
    </row>
    <row r="131" spans="1:6">
      <c r="A131" s="1194" t="s">
        <v>297</v>
      </c>
      <c r="B131" s="333">
        <v>2</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124217.95646415207</v>
      </c>
      <c r="C3" s="43" t="s">
        <v>171</v>
      </c>
      <c r="D3" s="43"/>
      <c r="E3" s="156"/>
      <c r="F3" s="43"/>
      <c r="G3" s="43"/>
      <c r="H3" s="43"/>
      <c r="I3" s="43"/>
      <c r="J3" s="43"/>
      <c r="K3" s="96"/>
    </row>
    <row r="4" spans="1:11">
      <c r="A4" s="364" t="s">
        <v>172</v>
      </c>
      <c r="B4" s="49">
        <f>IF(ISERROR('SEAP template'!B69),0,'SEAP template'!B69)</f>
        <v>1507.0102535270009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0.21831883154811374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3402.7539999999999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3402.7539999999999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0.21831883154811374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742.88527732567024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61304.445251727499</v>
      </c>
      <c r="C5" s="17">
        <f>IF(ISERROR('Eigen informatie GS &amp; warmtenet'!B57),0,'Eigen informatie GS &amp; warmtenet'!B57)</f>
        <v>0</v>
      </c>
      <c r="D5" s="30">
        <f>(SUM(HH_hh_gas_kWh,HH_rest_gas_kWh)/1000)*0.902</f>
        <v>126281.01314722629</v>
      </c>
      <c r="E5" s="17">
        <f>B46*B57</f>
        <v>0</v>
      </c>
      <c r="F5" s="17">
        <f>B51*B62</f>
        <v>0</v>
      </c>
      <c r="G5" s="18"/>
      <c r="H5" s="17"/>
      <c r="I5" s="17"/>
      <c r="J5" s="17">
        <f>B50*B61+C50*C61</f>
        <v>0</v>
      </c>
      <c r="K5" s="17"/>
      <c r="L5" s="17"/>
      <c r="M5" s="17"/>
      <c r="N5" s="17">
        <f>B48*B59+C48*C59</f>
        <v>0</v>
      </c>
      <c r="O5" s="17">
        <f>B69*B70*B71</f>
        <v>85.983333333333334</v>
      </c>
      <c r="P5" s="17">
        <f>B77*B78*B79/1000-B77*B78*B79/1000/B80</f>
        <v>362.26666666666665</v>
      </c>
    </row>
    <row r="6" spans="1:16">
      <c r="A6" s="16" t="s">
        <v>633</v>
      </c>
      <c r="B6" s="830">
        <f>kWh_PV_kleiner_dan_10kW</f>
        <v>1301.0107692994218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62605.456021026919</v>
      </c>
      <c r="C8" s="21">
        <f>C5</f>
        <v>0</v>
      </c>
      <c r="D8" s="21">
        <f>D5</f>
        <v>126281.01314722629</v>
      </c>
      <c r="E8" s="21">
        <f>E5</f>
        <v>0</v>
      </c>
      <c r="F8" s="21">
        <f>F5</f>
        <v>0</v>
      </c>
      <c r="G8" s="21"/>
      <c r="H8" s="21"/>
      <c r="I8" s="21"/>
      <c r="J8" s="21">
        <f>J5</f>
        <v>0</v>
      </c>
      <c r="K8" s="21"/>
      <c r="L8" s="21">
        <f>L5</f>
        <v>0</v>
      </c>
      <c r="M8" s="21">
        <f>M5</f>
        <v>0</v>
      </c>
      <c r="N8" s="21">
        <f>N5</f>
        <v>0</v>
      </c>
      <c r="O8" s="21">
        <f>O5</f>
        <v>85.983333333333334</v>
      </c>
      <c r="P8" s="21">
        <f>P5</f>
        <v>362.26666666666665</v>
      </c>
    </row>
    <row r="9" spans="1:16">
      <c r="B9" s="19"/>
      <c r="C9" s="19"/>
      <c r="D9" s="260"/>
      <c r="E9" s="19"/>
      <c r="F9" s="19"/>
      <c r="G9" s="19"/>
      <c r="H9" s="19"/>
      <c r="I9" s="19"/>
      <c r="J9" s="19"/>
      <c r="K9" s="19"/>
      <c r="L9" s="19"/>
      <c r="M9" s="19"/>
      <c r="N9" s="19"/>
      <c r="O9" s="19"/>
      <c r="P9" s="19"/>
    </row>
    <row r="10" spans="1:16">
      <c r="A10" s="24" t="s">
        <v>215</v>
      </c>
      <c r="B10" s="25">
        <f ca="1">'EF ele_warmte'!B12</f>
        <v>0.21831883154811374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13667.950007047419</v>
      </c>
      <c r="C12" s="23">
        <f ca="1">C10*C8</f>
        <v>0</v>
      </c>
      <c r="D12" s="23">
        <f>D8*D10</f>
        <v>25508.764655739713</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5266</v>
      </c>
      <c r="C18" s="167" t="s">
        <v>111</v>
      </c>
      <c r="D18" s="229"/>
      <c r="E18" s="15"/>
    </row>
    <row r="19" spans="1:7">
      <c r="A19" s="172" t="s">
        <v>72</v>
      </c>
      <c r="B19" s="37">
        <f>aantalw2001_ander</f>
        <v>0</v>
      </c>
      <c r="C19" s="167" t="s">
        <v>111</v>
      </c>
      <c r="D19" s="230"/>
      <c r="E19" s="15"/>
    </row>
    <row r="20" spans="1:7">
      <c r="A20" s="172" t="s">
        <v>73</v>
      </c>
      <c r="B20" s="37">
        <f>aantalw2001_propaan</f>
        <v>87</v>
      </c>
      <c r="C20" s="168">
        <f>IF(ISERROR(B20/SUM($B$20,$B$21,$B$22)*100),0,B20/SUM($B$20,$B$21,$B$22)*100)</f>
        <v>5.2472858866103742</v>
      </c>
      <c r="D20" s="230"/>
      <c r="E20" s="15"/>
    </row>
    <row r="21" spans="1:7">
      <c r="A21" s="172" t="s">
        <v>74</v>
      </c>
      <c r="B21" s="37">
        <f>aantalw2001_elektriciteit</f>
        <v>1499</v>
      </c>
      <c r="C21" s="168">
        <f>IF(ISERROR(B21/SUM($B$20,$B$21,$B$22)*100),0,B21/SUM($B$20,$B$21,$B$22)*100)</f>
        <v>90.410132689987933</v>
      </c>
      <c r="D21" s="230"/>
      <c r="E21" s="15"/>
    </row>
    <row r="22" spans="1:7">
      <c r="A22" s="172" t="s">
        <v>75</v>
      </c>
      <c r="B22" s="37">
        <f>aantalw2001_hout</f>
        <v>72</v>
      </c>
      <c r="C22" s="168">
        <f>IF(ISERROR(B22/SUM($B$20,$B$21,$B$22)*100),0,B22/SUM($B$20,$B$21,$B$22)*100)</f>
        <v>4.3425814234016888</v>
      </c>
      <c r="D22" s="230"/>
      <c r="E22" s="15"/>
    </row>
    <row r="23" spans="1:7">
      <c r="A23" s="172" t="s">
        <v>76</v>
      </c>
      <c r="B23" s="37">
        <f>aantalw2001_niet_gespec</f>
        <v>190</v>
      </c>
      <c r="C23" s="167" t="s">
        <v>111</v>
      </c>
      <c r="D23" s="229"/>
      <c r="E23" s="15"/>
    </row>
    <row r="24" spans="1:7">
      <c r="A24" s="172" t="s">
        <v>77</v>
      </c>
      <c r="B24" s="37">
        <f>aantalw2001_steenkool</f>
        <v>69</v>
      </c>
      <c r="C24" s="167" t="s">
        <v>111</v>
      </c>
      <c r="D24" s="230"/>
      <c r="E24" s="15"/>
    </row>
    <row r="25" spans="1:7">
      <c r="A25" s="172" t="s">
        <v>78</v>
      </c>
      <c r="B25" s="37">
        <f>aantalw2001_stookolie</f>
        <v>1638</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10811</v>
      </c>
      <c r="C28" s="36"/>
      <c r="D28" s="229"/>
    </row>
    <row r="29" spans="1:7" s="15" customFormat="1">
      <c r="A29" s="231" t="s">
        <v>714</v>
      </c>
      <c r="B29" s="37">
        <f>SUM(HH_hh_gas_aantal,HH_rest_gas_aantal)</f>
        <v>12760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12760</v>
      </c>
      <c r="C32" s="168">
        <f>IF(ISERROR(B32/SUM($B$32,$B$34,$B$35,$B$36,$B$38,$B$39)*100),0,B32/SUM($B$32,$B$34,$B$35,$B$36,$B$38,$B$39)*100)</f>
        <v>100</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0</v>
      </c>
      <c r="C35" s="168">
        <f>IF(ISERROR(B35/SUM($B$32,$B$34,$B$35,$B$36,$B$38,$B$39)*100),0,B35/SUM($B$32,$B$34,$B$35,$B$36,$B$38,$B$39)*100)</f>
        <v>0</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12760</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0</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52985.543101849929</v>
      </c>
      <c r="C5" s="17">
        <f>IF(ISERROR('Eigen informatie GS &amp; warmtenet'!B58),0,'Eigen informatie GS &amp; warmtenet'!B58)</f>
        <v>0</v>
      </c>
      <c r="D5" s="30">
        <f>SUM(D6:D12)</f>
        <v>62536.758874351515</v>
      </c>
      <c r="E5" s="17">
        <f>SUM(E6:E12)</f>
        <v>1474.7926191455049</v>
      </c>
      <c r="F5" s="17">
        <f>SUM(F6:F12)</f>
        <v>10127.426979164884</v>
      </c>
      <c r="G5" s="18"/>
      <c r="H5" s="17"/>
      <c r="I5" s="17"/>
      <c r="J5" s="17">
        <f>SUM(J6:J12)</f>
        <v>0</v>
      </c>
      <c r="K5" s="17"/>
      <c r="L5" s="17"/>
      <c r="M5" s="17"/>
      <c r="N5" s="17">
        <f>SUM(N6:N12)</f>
        <v>1789.6315122593958</v>
      </c>
      <c r="O5" s="17">
        <f>B38*B39*B40</f>
        <v>4.6900000000000004</v>
      </c>
      <c r="P5" s="17">
        <f>B46*B47*B48/1000-B46*B47*B48/1000/B49</f>
        <v>38.133333333333333</v>
      </c>
      <c r="R5" s="32"/>
    </row>
    <row r="6" spans="1:18">
      <c r="A6" s="32" t="s">
        <v>54</v>
      </c>
      <c r="B6" s="37">
        <f>B26</f>
        <v>15259.258155224501</v>
      </c>
      <c r="C6" s="33"/>
      <c r="D6" s="37">
        <f>IF(ISERROR(TER_kantoor_gas_kWh/1000),0,TER_kantoor_gas_kWh/1000)*0.902</f>
        <v>23760.172699488583</v>
      </c>
      <c r="E6" s="33">
        <f>$C$26*'E Balans VL '!I12/100/3.6*1000000</f>
        <v>534.13406148828199</v>
      </c>
      <c r="F6" s="33">
        <f>$C$26*('E Balans VL '!L12+'E Balans VL '!N12)/100/3.6*1000000</f>
        <v>2313.6311493943131</v>
      </c>
      <c r="G6" s="34"/>
      <c r="H6" s="33"/>
      <c r="I6" s="33"/>
      <c r="J6" s="33">
        <f>$C$26*('E Balans VL '!D12+'E Balans VL '!E12)/100/3.6*1000000</f>
        <v>0</v>
      </c>
      <c r="K6" s="33"/>
      <c r="L6" s="33"/>
      <c r="M6" s="33"/>
      <c r="N6" s="33">
        <f>$C$26*'E Balans VL '!Y12/100/3.6*1000000</f>
        <v>117.94928952352466</v>
      </c>
      <c r="O6" s="33"/>
      <c r="P6" s="33"/>
      <c r="R6" s="32"/>
    </row>
    <row r="7" spans="1:18">
      <c r="A7" s="32" t="s">
        <v>53</v>
      </c>
      <c r="B7" s="37">
        <f t="shared" ref="B7:B12" si="0">B27</f>
        <v>13257.281086839501</v>
      </c>
      <c r="C7" s="33"/>
      <c r="D7" s="37">
        <f>IF(ISERROR(TER_horeca_gas_kWh/1000),0,TER_horeca_gas_kWh/1000)*0.902</f>
        <v>21622.528913477701</v>
      </c>
      <c r="E7" s="33">
        <f>$C$27*'E Balans VL '!I9/100/3.6*1000000</f>
        <v>747.88693220501455</v>
      </c>
      <c r="F7" s="33">
        <f>$C$27*('E Balans VL '!L9+'E Balans VL '!N9)/100/3.6*1000000</f>
        <v>2309.4917320629602</v>
      </c>
      <c r="G7" s="34"/>
      <c r="H7" s="33"/>
      <c r="I7" s="33"/>
      <c r="J7" s="33">
        <f>$C$27*('E Balans VL '!D9+'E Balans VL '!E9)/100/3.6*1000000</f>
        <v>0</v>
      </c>
      <c r="K7" s="33"/>
      <c r="L7" s="33"/>
      <c r="M7" s="33"/>
      <c r="N7" s="33">
        <f>$C$27*'E Balans VL '!Y9/100/3.6*1000000</f>
        <v>0</v>
      </c>
      <c r="O7" s="33"/>
      <c r="P7" s="33"/>
      <c r="R7" s="32"/>
    </row>
    <row r="8" spans="1:18">
      <c r="A8" s="6" t="s">
        <v>52</v>
      </c>
      <c r="B8" s="37">
        <f t="shared" si="0"/>
        <v>11423.5724531221</v>
      </c>
      <c r="C8" s="33"/>
      <c r="D8" s="37">
        <f>IF(ISERROR(TER_handel_gas_kWh/1000),0,TER_handel_gas_kWh/1000)*0.902</f>
        <v>5238.7426501610935</v>
      </c>
      <c r="E8" s="33">
        <f>$C$28*'E Balans VL '!I13/100/3.6*1000000</f>
        <v>58.647460356200497</v>
      </c>
      <c r="F8" s="33">
        <f>$C$28*('E Balans VL '!L13+'E Balans VL '!N13)/100/3.6*1000000</f>
        <v>1761.3383599572471</v>
      </c>
      <c r="G8" s="34"/>
      <c r="H8" s="33"/>
      <c r="I8" s="33"/>
      <c r="J8" s="33">
        <f>$C$28*('E Balans VL '!D13+'E Balans VL '!E13)/100/3.6*1000000</f>
        <v>0</v>
      </c>
      <c r="K8" s="33"/>
      <c r="L8" s="33"/>
      <c r="M8" s="33"/>
      <c r="N8" s="33">
        <f>$C$28*'E Balans VL '!Y13/100/3.6*1000000</f>
        <v>5.34294427979661</v>
      </c>
      <c r="O8" s="33"/>
      <c r="P8" s="33"/>
      <c r="R8" s="32"/>
    </row>
    <row r="9" spans="1:18">
      <c r="A9" s="32" t="s">
        <v>51</v>
      </c>
      <c r="B9" s="37">
        <f t="shared" si="0"/>
        <v>801.08222279507902</v>
      </c>
      <c r="C9" s="33"/>
      <c r="D9" s="37">
        <f>IF(ISERROR(TER_gezond_gas_kWh/1000),0,TER_gezond_gas_kWh/1000)*0.902</f>
        <v>1263.1561631617071</v>
      </c>
      <c r="E9" s="33">
        <f>$C$29*'E Balans VL '!I10/100/3.6*1000000</f>
        <v>0.33204287624543916</v>
      </c>
      <c r="F9" s="33">
        <f>$C$29*('E Balans VL '!L10+'E Balans VL '!N10)/100/3.6*1000000</f>
        <v>197.29506242279945</v>
      </c>
      <c r="G9" s="34"/>
      <c r="H9" s="33"/>
      <c r="I9" s="33"/>
      <c r="J9" s="33">
        <f>$C$29*('E Balans VL '!D10+'E Balans VL '!E10)/100/3.6*1000000</f>
        <v>0</v>
      </c>
      <c r="K9" s="33"/>
      <c r="L9" s="33"/>
      <c r="M9" s="33"/>
      <c r="N9" s="33">
        <f>$C$29*'E Balans VL '!Y10/100/3.6*1000000</f>
        <v>6.9233331836805814</v>
      </c>
      <c r="O9" s="33"/>
      <c r="P9" s="33"/>
      <c r="R9" s="32"/>
    </row>
    <row r="10" spans="1:18">
      <c r="A10" s="32" t="s">
        <v>50</v>
      </c>
      <c r="B10" s="37">
        <f t="shared" si="0"/>
        <v>6654.0956375227406</v>
      </c>
      <c r="C10" s="33"/>
      <c r="D10" s="37">
        <f>IF(ISERROR(TER_ander_gas_kWh/1000),0,TER_ander_gas_kWh/1000)*0.902</f>
        <v>1551.1250108103211</v>
      </c>
      <c r="E10" s="33">
        <f>$C$30*'E Balans VL '!I14/100/3.6*1000000</f>
        <v>40.563531180827106</v>
      </c>
      <c r="F10" s="33">
        <f>$C$30*('E Balans VL '!L14+'E Balans VL '!N14)/100/3.6*1000000</f>
        <v>1764.0919042778314</v>
      </c>
      <c r="G10" s="34"/>
      <c r="H10" s="33"/>
      <c r="I10" s="33"/>
      <c r="J10" s="33">
        <f>$C$30*('E Balans VL '!D14+'E Balans VL '!E14)/100/3.6*1000000</f>
        <v>0</v>
      </c>
      <c r="K10" s="33"/>
      <c r="L10" s="33"/>
      <c r="M10" s="33"/>
      <c r="N10" s="33">
        <f>$C$30*'E Balans VL '!Y14/100/3.6*1000000</f>
        <v>1533.6252600254047</v>
      </c>
      <c r="O10" s="33"/>
      <c r="P10" s="33"/>
      <c r="R10" s="32"/>
    </row>
    <row r="11" spans="1:18">
      <c r="A11" s="32" t="s">
        <v>55</v>
      </c>
      <c r="B11" s="37">
        <f t="shared" si="0"/>
        <v>1289.1406709487001</v>
      </c>
      <c r="C11" s="33"/>
      <c r="D11" s="37">
        <f>IF(ISERROR(TER_onderwijs_gas_kWh/1000),0,TER_onderwijs_gas_kWh/1000)*0.902</f>
        <v>2087.33329438692</v>
      </c>
      <c r="E11" s="33">
        <f>$C$31*'E Balans VL '!I11/100/3.6*1000000</f>
        <v>0.98239231752679002</v>
      </c>
      <c r="F11" s="33">
        <f>$C$31*('E Balans VL '!L11+'E Balans VL '!N11)/100/3.6*1000000</f>
        <v>932.89283734675064</v>
      </c>
      <c r="G11" s="34"/>
      <c r="H11" s="33"/>
      <c r="I11" s="33"/>
      <c r="J11" s="33">
        <f>$C$31*('E Balans VL '!D11+'E Balans VL '!E11)/100/3.6*1000000</f>
        <v>0</v>
      </c>
      <c r="K11" s="33"/>
      <c r="L11" s="33"/>
      <c r="M11" s="33"/>
      <c r="N11" s="33">
        <f>$C$31*'E Balans VL '!Y11/100/3.6*1000000</f>
        <v>3.7994056562920058</v>
      </c>
      <c r="O11" s="33"/>
      <c r="P11" s="33"/>
      <c r="R11" s="32"/>
    </row>
    <row r="12" spans="1:18">
      <c r="A12" s="32" t="s">
        <v>261</v>
      </c>
      <c r="B12" s="37">
        <f t="shared" si="0"/>
        <v>4301.1128753973098</v>
      </c>
      <c r="C12" s="33"/>
      <c r="D12" s="37">
        <f>IF(ISERROR(TER_rest_gas_kWh/1000),0,TER_rest_gas_kWh/1000)*0.902</f>
        <v>7013.7001428651984</v>
      </c>
      <c r="E12" s="33">
        <f>$C$32*'E Balans VL '!I8/100/3.6*1000000</f>
        <v>92.246198721408419</v>
      </c>
      <c r="F12" s="33">
        <f>$C$32*('E Balans VL '!L8+'E Balans VL '!N8)/100/3.6*1000000</f>
        <v>848.68593370298117</v>
      </c>
      <c r="G12" s="34"/>
      <c r="H12" s="33"/>
      <c r="I12" s="33"/>
      <c r="J12" s="33">
        <f>$C$32*('E Balans VL '!D8+'E Balans VL '!E8)/100/3.6*1000000</f>
        <v>0</v>
      </c>
      <c r="K12" s="33"/>
      <c r="L12" s="33"/>
      <c r="M12" s="33"/>
      <c r="N12" s="33">
        <f>$C$32*'E Balans VL '!Y8/100/3.6*1000000</f>
        <v>121.99127959069715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52985.543101849929</v>
      </c>
      <c r="C16" s="21">
        <f ca="1">C5+C13+C14</f>
        <v>0</v>
      </c>
      <c r="D16" s="21">
        <f t="shared" ref="D16:N16" ca="1" si="1">MAX((D5+D13+D14),0)</f>
        <v>62536.758874351515</v>
      </c>
      <c r="E16" s="21">
        <f t="shared" si="1"/>
        <v>1474.7926191455049</v>
      </c>
      <c r="F16" s="21">
        <f t="shared" ca="1" si="1"/>
        <v>10127.426979164884</v>
      </c>
      <c r="G16" s="21">
        <f t="shared" si="1"/>
        <v>0</v>
      </c>
      <c r="H16" s="21">
        <f t="shared" si="1"/>
        <v>0</v>
      </c>
      <c r="I16" s="21">
        <f t="shared" si="1"/>
        <v>0</v>
      </c>
      <c r="J16" s="21">
        <f t="shared" si="1"/>
        <v>0</v>
      </c>
      <c r="K16" s="21">
        <f t="shared" si="1"/>
        <v>0</v>
      </c>
      <c r="L16" s="21">
        <f t="shared" ca="1" si="1"/>
        <v>0</v>
      </c>
      <c r="M16" s="21">
        <f t="shared" si="1"/>
        <v>0</v>
      </c>
      <c r="N16" s="21">
        <f t="shared" ca="1" si="1"/>
        <v>1789.6315122593958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0.21831883154811374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11567.741858938094</v>
      </c>
      <c r="C20" s="23">
        <f t="shared" ref="C20:P20" ca="1" si="2">C16*C18</f>
        <v>0</v>
      </c>
      <c r="D20" s="23">
        <f t="shared" ca="1" si="2"/>
        <v>12632.425292619007</v>
      </c>
      <c r="E20" s="23">
        <f t="shared" si="2"/>
        <v>334.77792454602962</v>
      </c>
      <c r="F20" s="23">
        <f t="shared" ca="1" si="2"/>
        <v>2704.0230034370243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15259.258155224501</v>
      </c>
      <c r="C26" s="39">
        <f>IF(ISERROR(B26*3.6/1000000/'E Balans VL '!Z12*100),0,B26*3.6/1000000/'E Balans VL '!Z12*100)</f>
        <v>0.32110578230186088</v>
      </c>
      <c r="D26" s="238" t="s">
        <v>720</v>
      </c>
      <c r="F26" s="6"/>
    </row>
    <row r="27" spans="1:18">
      <c r="A27" s="232" t="s">
        <v>53</v>
      </c>
      <c r="B27" s="33">
        <f>IF(ISERROR(TER_horeca_ele_kWh/1000),0,TER_horeca_ele_kWh/1000)</f>
        <v>13257.281086839501</v>
      </c>
      <c r="C27" s="39">
        <f>IF(ISERROR(B27*3.6/1000000/'E Balans VL '!Z9*100),0,B27*3.6/1000000/'E Balans VL '!Z9*100)</f>
        <v>1.1224567370078291</v>
      </c>
      <c r="D27" s="238" t="s">
        <v>720</v>
      </c>
      <c r="F27" s="6"/>
    </row>
    <row r="28" spans="1:18">
      <c r="A28" s="172" t="s">
        <v>52</v>
      </c>
      <c r="B28" s="33">
        <f>IF(ISERROR(TER_handel_ele_kWh/1000),0,TER_handel_ele_kWh/1000)</f>
        <v>11423.5724531221</v>
      </c>
      <c r="C28" s="39">
        <f>IF(ISERROR(B28*3.6/1000000/'E Balans VL '!Z13*100),0,B28*3.6/1000000/'E Balans VL '!Z13*100)</f>
        <v>0.31626002372398793</v>
      </c>
      <c r="D28" s="238" t="s">
        <v>720</v>
      </c>
      <c r="F28" s="6"/>
    </row>
    <row r="29" spans="1:18">
      <c r="A29" s="232" t="s">
        <v>51</v>
      </c>
      <c r="B29" s="33">
        <f>IF(ISERROR(TER_gezond_ele_kWh/1000),0,TER_gezond_ele_kWh/1000)</f>
        <v>801.08222279507902</v>
      </c>
      <c r="C29" s="39">
        <f>IF(ISERROR(B29*3.6/1000000/'E Balans VL '!Z10*100),0,B29*3.6/1000000/'E Balans VL '!Z10*100)</f>
        <v>0.10413180793148356</v>
      </c>
      <c r="D29" s="238" t="s">
        <v>720</v>
      </c>
      <c r="F29" s="6"/>
    </row>
    <row r="30" spans="1:18">
      <c r="A30" s="232" t="s">
        <v>50</v>
      </c>
      <c r="B30" s="33">
        <f>IF(ISERROR(TER_ander_ele_kWh/1000),0,TER_ander_ele_kWh/1000)</f>
        <v>6654.0956375227406</v>
      </c>
      <c r="C30" s="39">
        <f>IF(ISERROR(B30*3.6/1000000/'E Balans VL '!Z14*100),0,B30*3.6/1000000/'E Balans VL '!Z14*100)</f>
        <v>0.51575343462659606</v>
      </c>
      <c r="D30" s="238" t="s">
        <v>720</v>
      </c>
      <c r="F30" s="6"/>
    </row>
    <row r="31" spans="1:18">
      <c r="A31" s="232" t="s">
        <v>55</v>
      </c>
      <c r="B31" s="33">
        <f>IF(ISERROR(TER_onderwijs_ele_kWh/1000),0,TER_onderwijs_ele_kWh/1000)</f>
        <v>1289.1406709487001</v>
      </c>
      <c r="C31" s="39">
        <f>IF(ISERROR(B31*3.6/1000000/'E Balans VL '!Z11*100),0,B31*3.6/1000000/'E Balans VL '!Z11*100)</f>
        <v>0.24663457684466122</v>
      </c>
      <c r="D31" s="238" t="s">
        <v>720</v>
      </c>
    </row>
    <row r="32" spans="1:18">
      <c r="A32" s="232" t="s">
        <v>261</v>
      </c>
      <c r="B32" s="33">
        <f>IF(ISERROR(TER_rest_ele_kWh/1000),0,TER_rest_ele_kWh/1000)</f>
        <v>4301.1128753973098</v>
      </c>
      <c r="C32" s="39">
        <f>IF(ISERROR(B32*3.6/1000000/'E Balans VL '!Z8*100),0,B32*3.6/1000000/'E Balans VL '!Z8*100)</f>
        <v>3.546597854916711E-2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2797.3396894444463</v>
      </c>
      <c r="C5" s="17">
        <f>IF(ISERROR('Eigen informatie GS &amp; warmtenet'!B59),0,'Eigen informatie GS &amp; warmtenet'!B59)</f>
        <v>0</v>
      </c>
      <c r="D5" s="30">
        <f>SUM(D6:D15)</f>
        <v>3919.7718182053741</v>
      </c>
      <c r="E5" s="17">
        <f>SUM(E6:E15)</f>
        <v>38.283429991576142</v>
      </c>
      <c r="F5" s="17">
        <f>SUM(F6:F15)</f>
        <v>1453.073393104683</v>
      </c>
      <c r="G5" s="18"/>
      <c r="H5" s="17"/>
      <c r="I5" s="17"/>
      <c r="J5" s="17">
        <f>SUM(J6:J15)</f>
        <v>5.7062771292642669</v>
      </c>
      <c r="K5" s="17"/>
      <c r="L5" s="17"/>
      <c r="M5" s="17"/>
      <c r="N5" s="17">
        <f>SUM(N6:N15)</f>
        <v>136.35645477188271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13.1357773251185</v>
      </c>
      <c r="C8" s="33"/>
      <c r="D8" s="37">
        <f>IF( ISERROR(IND_metaal_Gas_kWH/1000),0,IND_metaal_Gas_kWH/1000)*0.902</f>
        <v>0</v>
      </c>
      <c r="E8" s="33">
        <f>C30*'E Balans VL '!I18/100/3.6*1000000</f>
        <v>9.2302208985807557E-2</v>
      </c>
      <c r="F8" s="33">
        <f>C30*'E Balans VL '!L18/100/3.6*1000000+C30*'E Balans VL '!N18/100/3.6*1000000</f>
        <v>1.4422314984362432</v>
      </c>
      <c r="G8" s="34"/>
      <c r="H8" s="33"/>
      <c r="I8" s="33"/>
      <c r="J8" s="40">
        <f>C30*'E Balans VL '!D18/100/3.6*1000000+C30*'E Balans VL '!E18/100/3.6*1000000</f>
        <v>0.27101939896356547</v>
      </c>
      <c r="K8" s="33"/>
      <c r="L8" s="33"/>
      <c r="M8" s="33"/>
      <c r="N8" s="33">
        <f>C30*'E Balans VL '!Y18/100/3.6*1000000</f>
        <v>4.9233839452212359E-2</v>
      </c>
      <c r="O8" s="33"/>
      <c r="P8" s="33"/>
      <c r="R8" s="32"/>
    </row>
    <row r="9" spans="1:18">
      <c r="A9" s="6" t="s">
        <v>33</v>
      </c>
      <c r="B9" s="37">
        <f t="shared" si="0"/>
        <v>1601.9564057991199</v>
      </c>
      <c r="C9" s="33"/>
      <c r="D9" s="37">
        <f>IF( ISERROR(IND_andere_gas_kWh/1000),0,IND_andere_gas_kWh/1000)*0.902</f>
        <v>2357.7482628239018</v>
      </c>
      <c r="E9" s="33">
        <f>C31*'E Balans VL '!I19/100/3.6*1000000</f>
        <v>26.906820294651158</v>
      </c>
      <c r="F9" s="33">
        <f>C31*'E Balans VL '!L19/100/3.6*1000000+C31*'E Balans VL '!N19/100/3.6*1000000</f>
        <v>1252.318277429594</v>
      </c>
      <c r="G9" s="34"/>
      <c r="H9" s="33"/>
      <c r="I9" s="33"/>
      <c r="J9" s="40">
        <f>C31*'E Balans VL '!D19/100/3.6*1000000+C31*'E Balans VL '!E19/100/3.6*1000000</f>
        <v>0.14448232671727163</v>
      </c>
      <c r="K9" s="33"/>
      <c r="L9" s="33"/>
      <c r="M9" s="33"/>
      <c r="N9" s="33">
        <f>C31*'E Balans VL '!Y19/100/3.6*1000000</f>
        <v>118.73067079758876</v>
      </c>
      <c r="O9" s="33"/>
      <c r="P9" s="33"/>
      <c r="R9" s="32"/>
    </row>
    <row r="10" spans="1:18">
      <c r="A10" s="6" t="s">
        <v>41</v>
      </c>
      <c r="B10" s="37">
        <f t="shared" si="0"/>
        <v>934.52294098761706</v>
      </c>
      <c r="C10" s="33"/>
      <c r="D10" s="37">
        <f>IF( ISERROR(IND_voed_gas_kWh/1000),0,IND_voed_gas_kWh/1000)*0.902</f>
        <v>1030.9947798912171</v>
      </c>
      <c r="E10" s="33">
        <f>C32*'E Balans VL '!I20/100/3.6*1000000</f>
        <v>8.5261989725815592</v>
      </c>
      <c r="F10" s="33">
        <f>C32*'E Balans VL '!L20/100/3.6*1000000+C32*'E Balans VL '!N20/100/3.6*1000000</f>
        <v>150.76778054828782</v>
      </c>
      <c r="G10" s="34"/>
      <c r="H10" s="33"/>
      <c r="I10" s="33"/>
      <c r="J10" s="40">
        <f>C32*'E Balans VL '!D20/100/3.6*1000000+C32*'E Balans VL '!E20/100/3.6*1000000</f>
        <v>3.8489781738850519</v>
      </c>
      <c r="K10" s="33"/>
      <c r="L10" s="33"/>
      <c r="M10" s="33"/>
      <c r="N10" s="33">
        <f>C32*'E Balans VL '!Y20/100/3.6*1000000</f>
        <v>13.671333734628208</v>
      </c>
      <c r="O10" s="33"/>
      <c r="P10" s="33"/>
      <c r="R10" s="32"/>
    </row>
    <row r="11" spans="1:18">
      <c r="A11" s="6" t="s">
        <v>40</v>
      </c>
      <c r="B11" s="37">
        <f t="shared" si="0"/>
        <v>7.3027796954080006</v>
      </c>
      <c r="C11" s="33"/>
      <c r="D11" s="37">
        <f>IF( ISERROR(IND_textiel_gas_kWh/1000),0,IND_textiel_gas_kWh/1000)*0.902</f>
        <v>0</v>
      </c>
      <c r="E11" s="33">
        <f>C33*'E Balans VL '!I21/100/3.6*1000000</f>
        <v>1.6656285877508722E-2</v>
      </c>
      <c r="F11" s="33">
        <f>C33*'E Balans VL '!L21/100/3.6*1000000+C33*'E Balans VL '!N21/100/3.6*1000000</f>
        <v>0.15610368928699889</v>
      </c>
      <c r="G11" s="34"/>
      <c r="H11" s="33"/>
      <c r="I11" s="33"/>
      <c r="J11" s="40">
        <f>C33*'E Balans VL '!D21/100/3.6*1000000+C33*'E Balans VL '!E21/100/3.6*1000000</f>
        <v>0</v>
      </c>
      <c r="K11" s="33"/>
      <c r="L11" s="33"/>
      <c r="M11" s="33"/>
      <c r="N11" s="33">
        <f>C33*'E Balans VL '!Y21/100/3.6*1000000</f>
        <v>5.1804933944532346E-2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26.2940849065332</v>
      </c>
      <c r="C13" s="33"/>
      <c r="D13" s="37">
        <f>IF( ISERROR(IND_papier_gas_kWh/1000),0,IND_papier_gas_kWh/1000)*0.902</f>
        <v>97.537935370207634</v>
      </c>
      <c r="E13" s="33">
        <f>C35*'E Balans VL '!I23/100/3.6*1000000</f>
        <v>0.80900037112401868</v>
      </c>
      <c r="F13" s="33">
        <f>C35*'E Balans VL '!L23/100/3.6*1000000+C35*'E Balans VL '!N23/100/3.6*1000000</f>
        <v>5.5831531496322588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214.12770073064999</v>
      </c>
      <c r="C15" s="33"/>
      <c r="D15" s="37">
        <f>IF( ISERROR(IND_rest_gas_kWh/1000),0,IND_rest_gas_kWh/1000)*0.902</f>
        <v>433.49084012004732</v>
      </c>
      <c r="E15" s="33">
        <f>C37*'E Balans VL '!I15/100/3.6*1000000</f>
        <v>1.9324518583560872</v>
      </c>
      <c r="F15" s="33">
        <f>C37*'E Balans VL '!L15/100/3.6*1000000+C37*'E Balans VL '!N15/100/3.6*1000000</f>
        <v>42.805846789445788</v>
      </c>
      <c r="G15" s="34"/>
      <c r="H15" s="33"/>
      <c r="I15" s="33"/>
      <c r="J15" s="40">
        <f>C37*'E Balans VL '!D15/100/3.6*1000000+C37*'E Balans VL '!E15/100/3.6*1000000</f>
        <v>1.4417972296983776</v>
      </c>
      <c r="K15" s="33"/>
      <c r="L15" s="33"/>
      <c r="M15" s="33"/>
      <c r="N15" s="33">
        <f>C37*'E Balans VL '!Y15/100/3.6*1000000</f>
        <v>3.85341146626899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2797.3396894444463</v>
      </c>
      <c r="C18" s="21">
        <f>C5+C16</f>
        <v>0</v>
      </c>
      <c r="D18" s="21">
        <f>MAX((D5+D16),0)</f>
        <v>3919.7718182053741</v>
      </c>
      <c r="E18" s="21">
        <f>MAX((E5+E16),0)</f>
        <v>38.283429991576142</v>
      </c>
      <c r="F18" s="21">
        <f>MAX((F5+F16),0)</f>
        <v>1453.073393104683</v>
      </c>
      <c r="G18" s="21"/>
      <c r="H18" s="21"/>
      <c r="I18" s="21"/>
      <c r="J18" s="21">
        <f>MAX((J5+J16),0)</f>
        <v>5.7062771292642669</v>
      </c>
      <c r="K18" s="21"/>
      <c r="L18" s="21">
        <f>MAX((L5+L16),0)</f>
        <v>0</v>
      </c>
      <c r="M18" s="21"/>
      <c r="N18" s="21">
        <f>MAX((N5+N16),0)</f>
        <v>136.35645477188271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0.21831883154811374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610.71193244267488</v>
      </c>
      <c r="C22" s="23">
        <f ca="1">C18*C20</f>
        <v>0</v>
      </c>
      <c r="D22" s="23">
        <f>D18*D20</f>
        <v>791.79390727748557</v>
      </c>
      <c r="E22" s="23">
        <f>E18*E20</f>
        <v>8.6903386080877851</v>
      </c>
      <c r="F22" s="23">
        <f>F18*F20</f>
        <v>387.97059595895035</v>
      </c>
      <c r="G22" s="23"/>
      <c r="H22" s="23"/>
      <c r="I22" s="23"/>
      <c r="J22" s="23">
        <f>J18*J20</f>
        <v>2.0200221037595503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13.1357773251185</v>
      </c>
      <c r="C30" s="39">
        <f>IF(ISERROR(B30*3.6/1000000/'E Balans VL '!Z18*100),0,B30*3.6/1000000/'E Balans VL '!Z18*100)</f>
        <v>8.7445671791095065E-4</v>
      </c>
      <c r="D30" s="238" t="s">
        <v>720</v>
      </c>
    </row>
    <row r="31" spans="1:18">
      <c r="A31" s="6" t="s">
        <v>33</v>
      </c>
      <c r="B31" s="37">
        <f>IF( ISERROR(IND_ander_ele_kWh/1000),0,IND_ander_ele_kWh/1000)</f>
        <v>1601.9564057991199</v>
      </c>
      <c r="C31" s="39">
        <f>IF(ISERROR(B31*3.6/1000000/'E Balans VL '!Z19*100),0,B31*3.6/1000000/'E Balans VL '!Z19*100)</f>
        <v>7.1008379000979921E-2</v>
      </c>
      <c r="D31" s="238" t="s">
        <v>720</v>
      </c>
    </row>
    <row r="32" spans="1:18">
      <c r="A32" s="172" t="s">
        <v>41</v>
      </c>
      <c r="B32" s="37">
        <f>IF( ISERROR(IND_voed_ele_kWh/1000),0,IND_voed_ele_kWh/1000)</f>
        <v>934.52294098761706</v>
      </c>
      <c r="C32" s="39">
        <f>IF(ISERROR(B32*3.6/1000000/'E Balans VL '!Z20*100),0,B32*3.6/1000000/'E Balans VL '!Z20*100)</f>
        <v>3.1215747028340859E-2</v>
      </c>
      <c r="D32" s="238" t="s">
        <v>720</v>
      </c>
    </row>
    <row r="33" spans="1:5">
      <c r="A33" s="172" t="s">
        <v>40</v>
      </c>
      <c r="B33" s="37">
        <f>IF( ISERROR(IND_textiel_ele_kWh/1000),0,IND_textiel_ele_kWh/1000)</f>
        <v>7.3027796954080006</v>
      </c>
      <c r="C33" s="39">
        <f>IF(ISERROR(B33*3.6/1000000/'E Balans VL '!Z21*100),0,B33*3.6/1000000/'E Balans VL '!Z21*100)</f>
        <v>9.6142778740239442E-4</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26.2940849065332</v>
      </c>
      <c r="C35" s="39">
        <f>IF(ISERROR(B35*3.6/1000000/'E Balans VL '!Z22*100),0,B35*3.6/1000000/'E Balans VL '!Z22*100)</f>
        <v>5.113910690215764E-3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214.12770073064999</v>
      </c>
      <c r="C37" s="39">
        <f>IF(ISERROR(B37*3.6/1000000/'E Balans VL '!Z15*100),0,B37*3.6/1000000/'E Balans VL '!Z15*100)</f>
        <v>1.5927612495717054E-3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1098.8223599587091</v>
      </c>
      <c r="C5" s="17">
        <f>'Eigen informatie GS &amp; warmtenet'!B60</f>
        <v>0</v>
      </c>
      <c r="D5" s="30">
        <f>IF(ISERROR(SUM(LB_lb_gas_kWh,LB_rest_gas_kWh,onbekend_gas_kWh)/1000),0,SUM(LB_lb_gas_kWh,LB_rest_gas_kWh,onbekend_gas_kWh)/1000)*0.902</f>
        <v>6501.5856671527872</v>
      </c>
      <c r="E5" s="17">
        <f>B17*'E Balans VL '!I25/3.6*1000000/100</f>
        <v>11.507105638827623</v>
      </c>
      <c r="F5" s="17">
        <f>B17*('E Balans VL '!L25/3.6*1000000+'E Balans VL '!N25/3.6*1000000)/100</f>
        <v>5643.7265999333094</v>
      </c>
      <c r="G5" s="18"/>
      <c r="H5" s="17"/>
      <c r="I5" s="17"/>
      <c r="J5" s="17">
        <f>('E Balans VL '!D25+'E Balans VL '!E25)/3.6*1000000*landbouw!B17/100</f>
        <v>98.134685657144132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1098.8223599587091</v>
      </c>
      <c r="C8" s="21">
        <f>C5+C6</f>
        <v>0</v>
      </c>
      <c r="D8" s="21">
        <f>MAX((D5+D6),0)</f>
        <v>6501.5856671527872</v>
      </c>
      <c r="E8" s="21">
        <f>MAX((E5+E6),0)</f>
        <v>11.507105638827623</v>
      </c>
      <c r="F8" s="21">
        <f>MAX((F5+F6),0)</f>
        <v>5643.7265999333094</v>
      </c>
      <c r="G8" s="21"/>
      <c r="H8" s="21"/>
      <c r="I8" s="21"/>
      <c r="J8" s="21">
        <f>MAX((J5+J6),0)</f>
        <v>98.134685657144132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0.21831883154811374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239.8936137051262</v>
      </c>
      <c r="C12" s="23">
        <f ca="1">C8*C10</f>
        <v>0</v>
      </c>
      <c r="D12" s="23">
        <f>D8*D10</f>
        <v>1313.3203047648631</v>
      </c>
      <c r="E12" s="23">
        <f>E8*E10</f>
        <v>2.6121129800138707</v>
      </c>
      <c r="F12" s="23">
        <f>F8*F10</f>
        <v>1506.8750021821936</v>
      </c>
      <c r="G12" s="23"/>
      <c r="H12" s="23"/>
      <c r="I12" s="23"/>
      <c r="J12" s="23">
        <f>J8*J10</f>
        <v>34.739678722629023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0.16912997238898753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113.56134611895313</v>
      </c>
      <c r="C26" s="248">
        <f>B26*'GWP N2O_CH4'!B5</f>
        <v>2384.7882684980154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70.757556420139053</v>
      </c>
      <c r="C27" s="248">
        <f>B27*'GWP N2O_CH4'!B5</f>
        <v>1485.9086848229201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1.7296018552368115</v>
      </c>
      <c r="C28" s="248">
        <f>B28*'GWP N2O_CH4'!B4</f>
        <v>536.17657512341157</v>
      </c>
      <c r="D28" s="50"/>
    </row>
    <row r="29" spans="1:4">
      <c r="A29" s="41" t="s">
        <v>278</v>
      </c>
      <c r="B29" s="248">
        <f>B34*'ha_N2O bodem landbouw'!B4</f>
        <v>20.594275755336422</v>
      </c>
      <c r="C29" s="248">
        <f>B29*'GWP N2O_CH4'!B4</f>
        <v>6384.2254841542908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3.4034745475415881E-3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2.8410438666425542E-6</v>
      </c>
      <c r="C5" s="446" t="s">
        <v>212</v>
      </c>
      <c r="D5" s="431">
        <f>SUM(D6:D11)</f>
        <v>1.2910092785261113E-5</v>
      </c>
      <c r="E5" s="431">
        <f>SUM(E6:E11)</f>
        <v>1.3740168460721742E-3</v>
      </c>
      <c r="F5" s="444" t="s">
        <v>212</v>
      </c>
      <c r="G5" s="431">
        <f>SUM(G6:G11)</f>
        <v>0.28905846419077441</v>
      </c>
      <c r="H5" s="431">
        <f>SUM(H6:H11)</f>
        <v>4.3638588208070504E-2</v>
      </c>
      <c r="I5" s="446" t="s">
        <v>212</v>
      </c>
      <c r="J5" s="446" t="s">
        <v>212</v>
      </c>
      <c r="K5" s="446" t="s">
        <v>212</v>
      </c>
      <c r="L5" s="446" t="s">
        <v>212</v>
      </c>
      <c r="M5" s="431">
        <f>SUM(M6:M11)</f>
        <v>1.4501150381218747E-2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2.2954537522825361E-6</v>
      </c>
      <c r="C6" s="432"/>
      <c r="D6" s="432">
        <f>vkm_2011_GW_PW*SUMIFS(TableVerdeelsleutelVkm[CNG],TableVerdeelsleutelVkm[Voertuigtype],"Lichte voertuigen")*SUMIFS(TableECFTransport[EnergieConsumptieFactor (PJ per km)],TableECFTransport[Index],CONCATENATE($A6,"_CNG_CNG"))</f>
        <v>9.8954343028404467E-6</v>
      </c>
      <c r="E6" s="434">
        <f>vkm_2011_GW_PW*SUMIFS(TableVerdeelsleutelVkm[LPG],TableVerdeelsleutelVkm[Voertuigtype],"Lichte voertuigen")*SUMIFS(TableECFTransport[EnergieConsumptieFactor (PJ per km)],TableECFTransport[Index],CONCATENATE($A6,"_LPG_LPG"))</f>
        <v>1.0295592221000042E-3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0.1266386107454954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3.3341321874816574E-2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7.0110876206111259E-3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8.506950037505856E-2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2.9169152815478704E-5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3.6748430235992073E-3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1.7684772821795422E-7</v>
      </c>
      <c r="C8" s="432"/>
      <c r="D8" s="434">
        <f>vkm_2011_NGW_PW*SUMIFS(TableVerdeelsleutelVkm[CNG],TableVerdeelsleutelVkm[Voertuigtype],"Lichte voertuigen")*SUMIFS(TableECFTransport[EnergieConsumptieFactor (PJ per km)],TableECFTransport[Index],CONCATENATE($A8,"_CNG_CNG"))</f>
        <v>1.3677103483104402E-6</v>
      </c>
      <c r="E8" s="434">
        <f>vkm_2011_NGW_PW*SUMIFS(TableVerdeelsleutelVkm[LPG],TableVerdeelsleutelVkm[Voertuigtype],"Lichte voertuigen")*SUMIFS(TableECFTransport[EnergieConsumptieFactor (PJ per km)],TableECFTransport[Index],CONCATENATE($A8,"_LPG_LPG"))</f>
        <v>1.2993216145281398E-4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1.5158575008316117E-2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4.3989502642979433E-3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8.5810026980582611E-4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1.0007265549240025E-3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2.9809015054556371E-7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4.3227428110950239E-5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3.6874238614206392E-7</v>
      </c>
      <c r="C10" s="432"/>
      <c r="D10" s="434">
        <f>vkm_2011_SW_PW*SUMIFS(TableVerdeelsleutelVkm[CNG],TableVerdeelsleutelVkm[Voertuigtype],"Lichte voertuigen")*SUMIFS(TableECFTransport[EnergieConsumptieFactor (PJ per km)],TableECFTransport[Index],CONCATENATE($A10,"_CNG_CNG"))</f>
        <v>1.6469481341102265E-6</v>
      </c>
      <c r="E10" s="434">
        <f>vkm_2011_SW_PW*SUMIFS(TableVerdeelsleutelVkm[LPG],TableVerdeelsleutelVkm[Voertuigtype],"Lichte voertuigen")*SUMIFS(TableECFTransport[EnergieConsumptieFactor (PJ per km)],TableECFTransport[Index],CONCATENATE($A10,"_LPG_LPG"))</f>
        <v>2.1452546251935612E-4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2.4258839731575495E-2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5.8553373393136427E-3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1.3184504590292182E-3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3.6932211775404823E-2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1.3511486676321811E-5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1.5954415800624175E-3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0.78917885184515402</v>
      </c>
      <c r="C14" s="21"/>
      <c r="D14" s="21">
        <f t="shared" ref="D14:M14" si="0">((D5)*10^9/3600)+D12</f>
        <v>3.5861368847947537</v>
      </c>
      <c r="E14" s="21">
        <f t="shared" si="0"/>
        <v>381.67134613115951</v>
      </c>
      <c r="F14" s="21"/>
      <c r="G14" s="21">
        <f t="shared" si="0"/>
        <v>80294.017830770681</v>
      </c>
      <c r="H14" s="21">
        <f t="shared" si="0"/>
        <v>12121.830057797362</v>
      </c>
      <c r="I14" s="21"/>
      <c r="J14" s="21"/>
      <c r="K14" s="21"/>
      <c r="L14" s="21"/>
      <c r="M14" s="21">
        <f t="shared" si="0"/>
        <v>4028.0973281163183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0.21831883154811374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0.17229260481731598</v>
      </c>
      <c r="C18" s="23"/>
      <c r="D18" s="23">
        <f t="shared" ref="D18:M18" si="1">D14*D16</f>
        <v>0.72439965072854029</v>
      </c>
      <c r="E18" s="23">
        <f t="shared" si="1"/>
        <v>86.639395571773207</v>
      </c>
      <c r="F18" s="23"/>
      <c r="G18" s="23">
        <f t="shared" si="1"/>
        <v>21438.502760815772</v>
      </c>
      <c r="H18" s="23">
        <f t="shared" si="1"/>
        <v>3018.3356843915431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4.7781076068728282E-3</v>
      </c>
      <c r="C50" s="322">
        <f t="shared" ref="C50:P50" si="2">SUM(C51:C52)</f>
        <v>0</v>
      </c>
      <c r="D50" s="322">
        <f t="shared" si="2"/>
        <v>0</v>
      </c>
      <c r="E50" s="322">
        <f t="shared" si="2"/>
        <v>0</v>
      </c>
      <c r="F50" s="322">
        <f t="shared" si="2"/>
        <v>0</v>
      </c>
      <c r="G50" s="322">
        <f t="shared" si="2"/>
        <v>5.126194830371072E-3</v>
      </c>
      <c r="H50" s="322">
        <f t="shared" si="2"/>
        <v>0</v>
      </c>
      <c r="I50" s="322">
        <f t="shared" si="2"/>
        <v>0</v>
      </c>
      <c r="J50" s="322">
        <f t="shared" si="2"/>
        <v>0</v>
      </c>
      <c r="K50" s="322">
        <f t="shared" si="2"/>
        <v>0</v>
      </c>
      <c r="L50" s="322">
        <f t="shared" si="2"/>
        <v>0</v>
      </c>
      <c r="M50" s="322">
        <f t="shared" si="2"/>
        <v>2.1850741498540143E-4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5.126194830371072E-3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2.1850741498540143E-4</v>
      </c>
      <c r="N51" s="324"/>
      <c r="O51" s="324"/>
      <c r="P51" s="327"/>
    </row>
    <row r="52" spans="1:18">
      <c r="A52" s="4" t="s">
        <v>331</v>
      </c>
      <c r="B52" s="328">
        <f>vkm_2011_tram*SUMIFS(TableECFTransport[EnergieConsumptieFactor (PJ per km)],TableECFTransport[Index],"Tram_gemiddeld_Electric_Electric")</f>
        <v>4.7781076068728282E-3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1327.2521130202301</v>
      </c>
      <c r="C54" s="21">
        <f t="shared" ref="C54:P54" si="3">(C50)*10^9/3600</f>
        <v>0</v>
      </c>
      <c r="D54" s="21">
        <f t="shared" si="3"/>
        <v>0</v>
      </c>
      <c r="E54" s="21">
        <f t="shared" si="3"/>
        <v>0</v>
      </c>
      <c r="F54" s="21">
        <f t="shared" si="3"/>
        <v>0</v>
      </c>
      <c r="G54" s="21">
        <f t="shared" si="3"/>
        <v>1423.9430084364087</v>
      </c>
      <c r="H54" s="21">
        <f t="shared" si="3"/>
        <v>0</v>
      </c>
      <c r="I54" s="21">
        <f t="shared" si="3"/>
        <v>0</v>
      </c>
      <c r="J54" s="21">
        <f t="shared" si="3"/>
        <v>0</v>
      </c>
      <c r="K54" s="21">
        <f t="shared" si="3"/>
        <v>0</v>
      </c>
      <c r="L54" s="21">
        <f t="shared" si="3"/>
        <v>0</v>
      </c>
      <c r="M54" s="21">
        <f t="shared" si="3"/>
        <v>60.696504162611511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0.21831883154811374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289.76413048434165</v>
      </c>
      <c r="C58" s="23">
        <f t="shared" ref="C58:P58" ca="1" si="4">C54*C56</f>
        <v>0</v>
      </c>
      <c r="D58" s="23">
        <f t="shared" si="4"/>
        <v>0</v>
      </c>
      <c r="E58" s="23">
        <f t="shared" si="4"/>
        <v>0</v>
      </c>
      <c r="F58" s="23">
        <f t="shared" si="4"/>
        <v>0</v>
      </c>
      <c r="G58" s="23">
        <f t="shared" si="4"/>
        <v>380.19278325252117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1507.0102535270009</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1507.0102535270009</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56388.29710184993</v>
      </c>
      <c r="D10" s="702">
        <f ca="1">tertiair!C16</f>
        <v>0</v>
      </c>
      <c r="E10" s="702">
        <f ca="1">tertiair!D16</f>
        <v>62536.758874351515</v>
      </c>
      <c r="F10" s="702">
        <f>tertiair!E16</f>
        <v>1474.7926191455049</v>
      </c>
      <c r="G10" s="702">
        <f ca="1">tertiair!F16</f>
        <v>10127.426979164884</v>
      </c>
      <c r="H10" s="702">
        <f>tertiair!G16</f>
        <v>0</v>
      </c>
      <c r="I10" s="702">
        <f>tertiair!H16</f>
        <v>0</v>
      </c>
      <c r="J10" s="702">
        <f>tertiair!I16</f>
        <v>0</v>
      </c>
      <c r="K10" s="702">
        <f>tertiair!J16</f>
        <v>0</v>
      </c>
      <c r="L10" s="702">
        <f>tertiair!K16</f>
        <v>0</v>
      </c>
      <c r="M10" s="702">
        <f ca="1">tertiair!L16</f>
        <v>0</v>
      </c>
      <c r="N10" s="702">
        <f>tertiair!M16</f>
        <v>0</v>
      </c>
      <c r="O10" s="702">
        <f ca="1">tertiair!N16</f>
        <v>1789.6315122593958</v>
      </c>
      <c r="P10" s="702">
        <f>tertiair!O16</f>
        <v>4.6900000000000004</v>
      </c>
      <c r="Q10" s="703">
        <f>tertiair!P16</f>
        <v>38.133333333333333</v>
      </c>
      <c r="R10" s="705">
        <f ca="1">SUM(C10:Q10)</f>
        <v>132359.73042010458</v>
      </c>
      <c r="S10" s="67"/>
    </row>
    <row r="11" spans="1:19" s="457" customFormat="1">
      <c r="A11" s="858" t="s">
        <v>226</v>
      </c>
      <c r="B11" s="863"/>
      <c r="C11" s="702">
        <f>huishoudens!B8</f>
        <v>62605.456021026919</v>
      </c>
      <c r="D11" s="702">
        <f>huishoudens!C8</f>
        <v>0</v>
      </c>
      <c r="E11" s="702">
        <f>huishoudens!D8</f>
        <v>126281.01314722629</v>
      </c>
      <c r="F11" s="702">
        <f>huishoudens!E8</f>
        <v>0</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0</v>
      </c>
      <c r="P11" s="702">
        <f>huishoudens!O8</f>
        <v>85.983333333333334</v>
      </c>
      <c r="Q11" s="703">
        <f>huishoudens!P8</f>
        <v>362.26666666666665</v>
      </c>
      <c r="R11" s="705">
        <f>SUM(C11:Q11)</f>
        <v>189334.71916825321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2797.3396894444463</v>
      </c>
      <c r="D13" s="702">
        <f>industrie!C18</f>
        <v>0</v>
      </c>
      <c r="E13" s="702">
        <f>industrie!D18</f>
        <v>3919.7718182053741</v>
      </c>
      <c r="F13" s="702">
        <f>industrie!E18</f>
        <v>38.283429991576142</v>
      </c>
      <c r="G13" s="702">
        <f>industrie!F18</f>
        <v>1453.073393104683</v>
      </c>
      <c r="H13" s="702">
        <f>industrie!G18</f>
        <v>0</v>
      </c>
      <c r="I13" s="702">
        <f>industrie!H18</f>
        <v>0</v>
      </c>
      <c r="J13" s="702">
        <f>industrie!I18</f>
        <v>0</v>
      </c>
      <c r="K13" s="702">
        <f>industrie!J18</f>
        <v>5.7062771292642669</v>
      </c>
      <c r="L13" s="702">
        <f>industrie!K18</f>
        <v>0</v>
      </c>
      <c r="M13" s="702">
        <f>industrie!L18</f>
        <v>0</v>
      </c>
      <c r="N13" s="702">
        <f>industrie!M18</f>
        <v>0</v>
      </c>
      <c r="O13" s="702">
        <f>industrie!N18</f>
        <v>136.35645477188271</v>
      </c>
      <c r="P13" s="702">
        <f>industrie!O18</f>
        <v>0</v>
      </c>
      <c r="Q13" s="703">
        <f>industrie!P18</f>
        <v>0</v>
      </c>
      <c r="R13" s="705">
        <f>SUM(C13:Q13)</f>
        <v>8350.5310626472274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121791.09281232129</v>
      </c>
      <c r="D15" s="707">
        <f t="shared" ref="D15:Q15" ca="1" si="0">SUM(D9:D14)</f>
        <v>0</v>
      </c>
      <c r="E15" s="707">
        <f t="shared" ca="1" si="0"/>
        <v>192737.54383978317</v>
      </c>
      <c r="F15" s="707">
        <f t="shared" si="0"/>
        <v>1513.0760491370811</v>
      </c>
      <c r="G15" s="707">
        <f t="shared" ca="1" si="0"/>
        <v>11580.500372269567</v>
      </c>
      <c r="H15" s="707">
        <f t="shared" si="0"/>
        <v>0</v>
      </c>
      <c r="I15" s="707">
        <f t="shared" si="0"/>
        <v>0</v>
      </c>
      <c r="J15" s="707">
        <f t="shared" si="0"/>
        <v>0</v>
      </c>
      <c r="K15" s="707">
        <f t="shared" si="0"/>
        <v>5.7062771292642669</v>
      </c>
      <c r="L15" s="707">
        <f t="shared" si="0"/>
        <v>0</v>
      </c>
      <c r="M15" s="707">
        <f t="shared" ca="1" si="0"/>
        <v>0</v>
      </c>
      <c r="N15" s="707">
        <f t="shared" si="0"/>
        <v>0</v>
      </c>
      <c r="O15" s="707">
        <f t="shared" ca="1" si="0"/>
        <v>1925.9879670312785</v>
      </c>
      <c r="P15" s="707">
        <f t="shared" si="0"/>
        <v>90.673333333333332</v>
      </c>
      <c r="Q15" s="708">
        <f t="shared" si="0"/>
        <v>400.4</v>
      </c>
      <c r="R15" s="709">
        <f ca="1">SUM(R9:R14)</f>
        <v>330044.98065100505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1327.2521130202301</v>
      </c>
      <c r="D18" s="702">
        <f>transport!C54</f>
        <v>0</v>
      </c>
      <c r="E18" s="702">
        <f>transport!D54</f>
        <v>0</v>
      </c>
      <c r="F18" s="702">
        <f>transport!E54</f>
        <v>0</v>
      </c>
      <c r="G18" s="702">
        <f>transport!F54</f>
        <v>0</v>
      </c>
      <c r="H18" s="702">
        <f>transport!G54</f>
        <v>1423.9430084364087</v>
      </c>
      <c r="I18" s="702">
        <f>transport!H54</f>
        <v>0</v>
      </c>
      <c r="J18" s="702">
        <f>transport!I54</f>
        <v>0</v>
      </c>
      <c r="K18" s="702">
        <f>transport!J54</f>
        <v>0</v>
      </c>
      <c r="L18" s="702">
        <f>transport!K54</f>
        <v>0</v>
      </c>
      <c r="M18" s="702">
        <f>transport!L54</f>
        <v>0</v>
      </c>
      <c r="N18" s="702">
        <f>transport!M54</f>
        <v>60.696504162611511</v>
      </c>
      <c r="O18" s="702">
        <f>transport!N54</f>
        <v>0</v>
      </c>
      <c r="P18" s="702">
        <f>transport!O54</f>
        <v>0</v>
      </c>
      <c r="Q18" s="703">
        <f>transport!P54</f>
        <v>0</v>
      </c>
      <c r="R18" s="705">
        <f>SUM(C18:Q18)</f>
        <v>2811.8916256192501</v>
      </c>
      <c r="S18" s="67"/>
    </row>
    <row r="19" spans="1:19" s="457" customFormat="1" ht="15" thickBot="1">
      <c r="A19" s="858" t="s">
        <v>308</v>
      </c>
      <c r="B19" s="863"/>
      <c r="C19" s="711">
        <f>transport!B14</f>
        <v>0.78917885184515402</v>
      </c>
      <c r="D19" s="711">
        <f>transport!C14</f>
        <v>0</v>
      </c>
      <c r="E19" s="711">
        <f>transport!D14</f>
        <v>3.5861368847947537</v>
      </c>
      <c r="F19" s="711">
        <f>transport!E14</f>
        <v>381.67134613115951</v>
      </c>
      <c r="G19" s="711">
        <f>transport!F14</f>
        <v>0</v>
      </c>
      <c r="H19" s="711">
        <f>transport!G14</f>
        <v>80294.017830770681</v>
      </c>
      <c r="I19" s="711">
        <f>transport!H14</f>
        <v>12121.830057797362</v>
      </c>
      <c r="J19" s="711">
        <f>transport!I14</f>
        <v>0</v>
      </c>
      <c r="K19" s="711">
        <f>transport!J14</f>
        <v>0</v>
      </c>
      <c r="L19" s="711">
        <f>transport!K14</f>
        <v>0</v>
      </c>
      <c r="M19" s="711">
        <f>transport!L14</f>
        <v>0</v>
      </c>
      <c r="N19" s="711">
        <f>transport!M14</f>
        <v>4028.0973281163183</v>
      </c>
      <c r="O19" s="711">
        <f>transport!N14</f>
        <v>0</v>
      </c>
      <c r="P19" s="711">
        <f>transport!O14</f>
        <v>0</v>
      </c>
      <c r="Q19" s="712">
        <f>transport!P14</f>
        <v>0</v>
      </c>
      <c r="R19" s="713">
        <f>SUM(C19:Q19)</f>
        <v>96829.991878552159</v>
      </c>
      <c r="S19" s="67"/>
    </row>
    <row r="20" spans="1:19" s="457" customFormat="1" ht="15.75" thickBot="1">
      <c r="A20" s="714" t="s">
        <v>231</v>
      </c>
      <c r="B20" s="866"/>
      <c r="C20" s="861">
        <f>SUM(C17:C19)</f>
        <v>1328.0412918720754</v>
      </c>
      <c r="D20" s="715">
        <f t="shared" ref="D20:R20" si="1">SUM(D17:D19)</f>
        <v>0</v>
      </c>
      <c r="E20" s="715">
        <f t="shared" si="1"/>
        <v>3.5861368847947537</v>
      </c>
      <c r="F20" s="715">
        <f t="shared" si="1"/>
        <v>381.67134613115951</v>
      </c>
      <c r="G20" s="715">
        <f t="shared" si="1"/>
        <v>0</v>
      </c>
      <c r="H20" s="715">
        <f t="shared" si="1"/>
        <v>81717.960839207095</v>
      </c>
      <c r="I20" s="715">
        <f t="shared" si="1"/>
        <v>12121.830057797362</v>
      </c>
      <c r="J20" s="715">
        <f t="shared" si="1"/>
        <v>0</v>
      </c>
      <c r="K20" s="715">
        <f t="shared" si="1"/>
        <v>0</v>
      </c>
      <c r="L20" s="715">
        <f t="shared" si="1"/>
        <v>0</v>
      </c>
      <c r="M20" s="715">
        <f t="shared" si="1"/>
        <v>0</v>
      </c>
      <c r="N20" s="715">
        <f t="shared" si="1"/>
        <v>4088.7938322789296</v>
      </c>
      <c r="O20" s="715">
        <f t="shared" si="1"/>
        <v>0</v>
      </c>
      <c r="P20" s="715">
        <f t="shared" si="1"/>
        <v>0</v>
      </c>
      <c r="Q20" s="716">
        <f t="shared" si="1"/>
        <v>0</v>
      </c>
      <c r="R20" s="717">
        <f t="shared" si="1"/>
        <v>99641.883504171405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1098.8223599587091</v>
      </c>
      <c r="D22" s="711">
        <f>+landbouw!C8</f>
        <v>0</v>
      </c>
      <c r="E22" s="711">
        <f>+landbouw!D8</f>
        <v>6501.5856671527872</v>
      </c>
      <c r="F22" s="711">
        <f>+landbouw!E8</f>
        <v>11.507105638827623</v>
      </c>
      <c r="G22" s="711">
        <f>+landbouw!F8</f>
        <v>5643.7265999333094</v>
      </c>
      <c r="H22" s="711">
        <f>+landbouw!G8</f>
        <v>0</v>
      </c>
      <c r="I22" s="711">
        <f>+landbouw!H8</f>
        <v>0</v>
      </c>
      <c r="J22" s="711">
        <f>+landbouw!I8</f>
        <v>0</v>
      </c>
      <c r="K22" s="711">
        <f>+landbouw!J8</f>
        <v>98.134685657144132</v>
      </c>
      <c r="L22" s="711">
        <f>+landbouw!K8</f>
        <v>0</v>
      </c>
      <c r="M22" s="711">
        <f>+landbouw!L8</f>
        <v>0</v>
      </c>
      <c r="N22" s="711">
        <f>+landbouw!M8</f>
        <v>0</v>
      </c>
      <c r="O22" s="711">
        <f>+landbouw!N8</f>
        <v>0</v>
      </c>
      <c r="P22" s="711">
        <f>+landbouw!O8</f>
        <v>0</v>
      </c>
      <c r="Q22" s="712">
        <f>+landbouw!P8</f>
        <v>0</v>
      </c>
      <c r="R22" s="713">
        <f>SUM(C22:Q22)</f>
        <v>13353.776418340778</v>
      </c>
      <c r="S22" s="67"/>
    </row>
    <row r="23" spans="1:19" s="457" customFormat="1" ht="17.25" thickTop="1" thickBot="1">
      <c r="A23" s="718" t="s">
        <v>116</v>
      </c>
      <c r="B23" s="852"/>
      <c r="C23" s="719">
        <f ca="1">C20+C15+C22</f>
        <v>124217.95646415207</v>
      </c>
      <c r="D23" s="719">
        <f t="shared" ref="D23:Q23" ca="1" si="2">D20+D15+D22</f>
        <v>0</v>
      </c>
      <c r="E23" s="719">
        <f t="shared" ca="1" si="2"/>
        <v>199242.71564382076</v>
      </c>
      <c r="F23" s="719">
        <f t="shared" si="2"/>
        <v>1906.2545009070682</v>
      </c>
      <c r="G23" s="719">
        <f t="shared" ca="1" si="2"/>
        <v>17224.226972202876</v>
      </c>
      <c r="H23" s="719">
        <f t="shared" si="2"/>
        <v>81717.960839207095</v>
      </c>
      <c r="I23" s="719">
        <f t="shared" si="2"/>
        <v>12121.830057797362</v>
      </c>
      <c r="J23" s="719">
        <f t="shared" si="2"/>
        <v>0</v>
      </c>
      <c r="K23" s="719">
        <f t="shared" si="2"/>
        <v>103.8409627864084</v>
      </c>
      <c r="L23" s="719">
        <f t="shared" si="2"/>
        <v>0</v>
      </c>
      <c r="M23" s="719">
        <f t="shared" ca="1" si="2"/>
        <v>0</v>
      </c>
      <c r="N23" s="719">
        <f t="shared" si="2"/>
        <v>4088.7938322789296</v>
      </c>
      <c r="O23" s="719">
        <f t="shared" ca="1" si="2"/>
        <v>1925.9879670312785</v>
      </c>
      <c r="P23" s="719">
        <f t="shared" si="2"/>
        <v>90.673333333333332</v>
      </c>
      <c r="Q23" s="720">
        <f t="shared" si="2"/>
        <v>400.4</v>
      </c>
      <c r="R23" s="721">
        <f ca="1">R20+R15+R22</f>
        <v>443040.64057351724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12310.627136263764</v>
      </c>
      <c r="D36" s="702">
        <f ca="1">tertiair!C20</f>
        <v>0</v>
      </c>
      <c r="E36" s="702">
        <f ca="1">tertiair!D20</f>
        <v>12632.425292619007</v>
      </c>
      <c r="F36" s="702">
        <f>tertiair!E20</f>
        <v>334.77792454602962</v>
      </c>
      <c r="G36" s="702">
        <f ca="1">tertiair!F20</f>
        <v>2704.0230034370243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27981.853356865828</v>
      </c>
    </row>
    <row r="37" spans="1:18">
      <c r="A37" s="873" t="s">
        <v>226</v>
      </c>
      <c r="B37" s="880"/>
      <c r="C37" s="702">
        <f ca="1">huishoudens!B12</f>
        <v>13667.950007047419</v>
      </c>
      <c r="D37" s="702">
        <f ca="1">huishoudens!C12</f>
        <v>0</v>
      </c>
      <c r="E37" s="702">
        <f>huishoudens!D12</f>
        <v>25508.764655739713</v>
      </c>
      <c r="F37" s="702">
        <f>huishoudens!E12</f>
        <v>0</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39176.714662787133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610.71193244267488</v>
      </c>
      <c r="D39" s="702">
        <f ca="1">industrie!C22</f>
        <v>0</v>
      </c>
      <c r="E39" s="702">
        <f>industrie!D22</f>
        <v>791.79390727748557</v>
      </c>
      <c r="F39" s="702">
        <f>industrie!E22</f>
        <v>8.6903386080877851</v>
      </c>
      <c r="G39" s="702">
        <f>industrie!F22</f>
        <v>387.97059595895035</v>
      </c>
      <c r="H39" s="702">
        <f>industrie!G22</f>
        <v>0</v>
      </c>
      <c r="I39" s="702">
        <f>industrie!H22</f>
        <v>0</v>
      </c>
      <c r="J39" s="702">
        <f>industrie!I22</f>
        <v>0</v>
      </c>
      <c r="K39" s="702">
        <f>industrie!J22</f>
        <v>2.0200221037595503</v>
      </c>
      <c r="L39" s="702">
        <f>industrie!K22</f>
        <v>0</v>
      </c>
      <c r="M39" s="702">
        <f>industrie!L22</f>
        <v>0</v>
      </c>
      <c r="N39" s="702">
        <f>industrie!M22</f>
        <v>0</v>
      </c>
      <c r="O39" s="702">
        <f>industrie!N22</f>
        <v>0</v>
      </c>
      <c r="P39" s="702">
        <f>industrie!O22</f>
        <v>0</v>
      </c>
      <c r="Q39" s="812">
        <f>industrie!P22</f>
        <v>0</v>
      </c>
      <c r="R39" s="906">
        <f ca="1">SUM(C39:Q39)</f>
        <v>1801.1867963909583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26589.289075753855</v>
      </c>
      <c r="D41" s="747">
        <f t="shared" ref="D41:R41" ca="1" si="4">SUM(D35:D40)</f>
        <v>0</v>
      </c>
      <c r="E41" s="747">
        <f t="shared" ca="1" si="4"/>
        <v>38932.983855636201</v>
      </c>
      <c r="F41" s="747">
        <f t="shared" si="4"/>
        <v>343.46826315411738</v>
      </c>
      <c r="G41" s="747">
        <f t="shared" ca="1" si="4"/>
        <v>3091.9935993959748</v>
      </c>
      <c r="H41" s="747">
        <f t="shared" si="4"/>
        <v>0</v>
      </c>
      <c r="I41" s="747">
        <f t="shared" si="4"/>
        <v>0</v>
      </c>
      <c r="J41" s="747">
        <f t="shared" si="4"/>
        <v>0</v>
      </c>
      <c r="K41" s="747">
        <f t="shared" si="4"/>
        <v>2.0200221037595503</v>
      </c>
      <c r="L41" s="747">
        <f t="shared" si="4"/>
        <v>0</v>
      </c>
      <c r="M41" s="747">
        <f t="shared" ca="1" si="4"/>
        <v>0</v>
      </c>
      <c r="N41" s="747">
        <f t="shared" si="4"/>
        <v>0</v>
      </c>
      <c r="O41" s="747">
        <f t="shared" ca="1" si="4"/>
        <v>0</v>
      </c>
      <c r="P41" s="747">
        <f t="shared" si="4"/>
        <v>0</v>
      </c>
      <c r="Q41" s="748">
        <f t="shared" si="4"/>
        <v>0</v>
      </c>
      <c r="R41" s="749">
        <f t="shared" ca="1" si="4"/>
        <v>68959.754816043918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289.76413048434165</v>
      </c>
      <c r="D44" s="702">
        <f ca="1">transport!C58</f>
        <v>0</v>
      </c>
      <c r="E44" s="702">
        <f>transport!D58</f>
        <v>0</v>
      </c>
      <c r="F44" s="702">
        <f>transport!E58</f>
        <v>0</v>
      </c>
      <c r="G44" s="702">
        <f>transport!F58</f>
        <v>0</v>
      </c>
      <c r="H44" s="702">
        <f>transport!G58</f>
        <v>380.19278325252117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669.95691373686282</v>
      </c>
    </row>
    <row r="45" spans="1:18" ht="15" thickBot="1">
      <c r="A45" s="876" t="s">
        <v>308</v>
      </c>
      <c r="B45" s="886"/>
      <c r="C45" s="711">
        <f ca="1">transport!B18</f>
        <v>0.17229260481731598</v>
      </c>
      <c r="D45" s="711">
        <f>transport!C18</f>
        <v>0</v>
      </c>
      <c r="E45" s="711">
        <f>transport!D18</f>
        <v>0.72439965072854029</v>
      </c>
      <c r="F45" s="711">
        <f>transport!E18</f>
        <v>86.639395571773207</v>
      </c>
      <c r="G45" s="711">
        <f>transport!F18</f>
        <v>0</v>
      </c>
      <c r="H45" s="711">
        <f>transport!G18</f>
        <v>21438.502760815772</v>
      </c>
      <c r="I45" s="711">
        <f>transport!H18</f>
        <v>3018.3356843915431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24544.374533034636</v>
      </c>
    </row>
    <row r="46" spans="1:18" ht="15.75" thickBot="1">
      <c r="A46" s="874" t="s">
        <v>231</v>
      </c>
      <c r="B46" s="887"/>
      <c r="C46" s="747">
        <f t="shared" ref="C46:R46" ca="1" si="5">SUM(C43:C45)</f>
        <v>289.93642308915895</v>
      </c>
      <c r="D46" s="747">
        <f t="shared" ca="1" si="5"/>
        <v>0</v>
      </c>
      <c r="E46" s="747">
        <f t="shared" si="5"/>
        <v>0.72439965072854029</v>
      </c>
      <c r="F46" s="747">
        <f t="shared" si="5"/>
        <v>86.639395571773207</v>
      </c>
      <c r="G46" s="747">
        <f t="shared" si="5"/>
        <v>0</v>
      </c>
      <c r="H46" s="747">
        <f t="shared" si="5"/>
        <v>21818.695544068294</v>
      </c>
      <c r="I46" s="747">
        <f t="shared" si="5"/>
        <v>3018.3356843915431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25214.331446771499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239.8936137051262</v>
      </c>
      <c r="D48" s="702">
        <f ca="1">+landbouw!C12</f>
        <v>0</v>
      </c>
      <c r="E48" s="702">
        <f>+landbouw!D12</f>
        <v>1313.3203047648631</v>
      </c>
      <c r="F48" s="702">
        <f>+landbouw!E12</f>
        <v>2.6121129800138707</v>
      </c>
      <c r="G48" s="702">
        <f>+landbouw!F12</f>
        <v>1506.8750021821936</v>
      </c>
      <c r="H48" s="702">
        <f>+landbouw!G12</f>
        <v>0</v>
      </c>
      <c r="I48" s="702">
        <f>+landbouw!H12</f>
        <v>0</v>
      </c>
      <c r="J48" s="702">
        <f>+landbouw!I12</f>
        <v>0</v>
      </c>
      <c r="K48" s="702">
        <f>+landbouw!J12</f>
        <v>34.739678722629023</v>
      </c>
      <c r="L48" s="702">
        <f>+landbouw!K12</f>
        <v>0</v>
      </c>
      <c r="M48" s="702">
        <f>+landbouw!L12</f>
        <v>0</v>
      </c>
      <c r="N48" s="702">
        <f>+landbouw!M12</f>
        <v>0</v>
      </c>
      <c r="O48" s="702">
        <f>+landbouw!N12</f>
        <v>0</v>
      </c>
      <c r="P48" s="702">
        <f>+landbouw!O12</f>
        <v>0</v>
      </c>
      <c r="Q48" s="703">
        <f>+landbouw!P12</f>
        <v>0</v>
      </c>
      <c r="R48" s="745">
        <f ca="1">SUM(C48:Q48)</f>
        <v>3097.4407123548253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27119.119112548142</v>
      </c>
      <c r="D53" s="757">
        <f t="shared" ref="D53:Q53" ca="1" si="6">D41+D46+D48</f>
        <v>0</v>
      </c>
      <c r="E53" s="757">
        <f t="shared" ca="1" si="6"/>
        <v>40247.028560051796</v>
      </c>
      <c r="F53" s="757">
        <f t="shared" si="6"/>
        <v>432.71977170590446</v>
      </c>
      <c r="G53" s="757">
        <f t="shared" ca="1" si="6"/>
        <v>4598.8686015781686</v>
      </c>
      <c r="H53" s="757">
        <f t="shared" si="6"/>
        <v>21818.695544068294</v>
      </c>
      <c r="I53" s="757">
        <f t="shared" si="6"/>
        <v>3018.3356843915431</v>
      </c>
      <c r="J53" s="757">
        <f t="shared" si="6"/>
        <v>0</v>
      </c>
      <c r="K53" s="757">
        <f t="shared" si="6"/>
        <v>36.759700826388574</v>
      </c>
      <c r="L53" s="757">
        <f t="shared" si="6"/>
        <v>0</v>
      </c>
      <c r="M53" s="757">
        <f t="shared" ca="1" si="6"/>
        <v>0</v>
      </c>
      <c r="N53" s="757">
        <f t="shared" si="6"/>
        <v>0</v>
      </c>
      <c r="O53" s="757">
        <f t="shared" ca="1" si="6"/>
        <v>0</v>
      </c>
      <c r="P53" s="757">
        <f>P41+P46+P48</f>
        <v>0</v>
      </c>
      <c r="Q53" s="758">
        <f t="shared" si="6"/>
        <v>0</v>
      </c>
      <c r="R53" s="759">
        <f ca="1">R41+R46+R48</f>
        <v>97271.526975170244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0.21831883154811374</v>
      </c>
      <c r="D55" s="823">
        <f t="shared" ca="1" si="7"/>
        <v>0</v>
      </c>
      <c r="E55" s="823">
        <f t="shared" ca="1" si="7"/>
        <v>0.20200000000000001</v>
      </c>
      <c r="F55" s="823">
        <f t="shared" si="7"/>
        <v>0.22699999999999998</v>
      </c>
      <c r="G55" s="823">
        <f t="shared" ca="1" si="7"/>
        <v>0.26700000000000007</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1507.0102535270009</v>
      </c>
      <c r="C66" s="779">
        <f>'lokale energieproductie'!B6</f>
        <v>1507.0102535270009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1507.0102535270009</v>
      </c>
      <c r="C69" s="787">
        <f>SUM(C64:C68)</f>
        <v>1507.0102535270009</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62605.456021026919</v>
      </c>
      <c r="C4" s="461">
        <f>huishoudens!C8</f>
        <v>0</v>
      </c>
      <c r="D4" s="461">
        <f>huishoudens!D8</f>
        <v>126281.01314722629</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85.983333333333334</v>
      </c>
      <c r="P4" s="462">
        <f>huishoudens!P8</f>
        <v>362.26666666666665</v>
      </c>
      <c r="Q4" s="463">
        <f>SUM(B4:P4)</f>
        <v>189334.71916825321</v>
      </c>
    </row>
    <row r="5" spans="1:17">
      <c r="A5" s="460" t="s">
        <v>156</v>
      </c>
      <c r="B5" s="461">
        <f ca="1">tertiair!B16</f>
        <v>52985.543101849929</v>
      </c>
      <c r="C5" s="461">
        <f ca="1">tertiair!C16</f>
        <v>0</v>
      </c>
      <c r="D5" s="461">
        <f ca="1">tertiair!D16</f>
        <v>62536.758874351515</v>
      </c>
      <c r="E5" s="461">
        <f>tertiair!E16</f>
        <v>1474.7926191455049</v>
      </c>
      <c r="F5" s="461">
        <f ca="1">tertiair!F16</f>
        <v>10127.426979164884</v>
      </c>
      <c r="G5" s="461">
        <f>tertiair!G16</f>
        <v>0</v>
      </c>
      <c r="H5" s="461">
        <f>tertiair!H16</f>
        <v>0</v>
      </c>
      <c r="I5" s="461">
        <f>tertiair!I16</f>
        <v>0</v>
      </c>
      <c r="J5" s="461">
        <f>tertiair!J16</f>
        <v>0</v>
      </c>
      <c r="K5" s="461">
        <f>tertiair!K16</f>
        <v>0</v>
      </c>
      <c r="L5" s="461">
        <f ca="1">tertiair!L16</f>
        <v>0</v>
      </c>
      <c r="M5" s="461">
        <f>tertiair!M16</f>
        <v>0</v>
      </c>
      <c r="N5" s="461">
        <f ca="1">tertiair!N16</f>
        <v>1789.6315122593958</v>
      </c>
      <c r="O5" s="461">
        <f>tertiair!O16</f>
        <v>4.6900000000000004</v>
      </c>
      <c r="P5" s="462">
        <f>tertiair!P16</f>
        <v>38.133333333333333</v>
      </c>
      <c r="Q5" s="460">
        <f t="shared" ref="Q5:Q13" ca="1" si="0">SUM(B5:P5)</f>
        <v>128956.97642010456</v>
      </c>
    </row>
    <row r="6" spans="1:17">
      <c r="A6" s="460" t="s">
        <v>195</v>
      </c>
      <c r="B6" s="461">
        <f>'openbare verlichting'!B8</f>
        <v>3402.7539999999999</v>
      </c>
      <c r="C6" s="461"/>
      <c r="D6" s="461"/>
      <c r="E6" s="461"/>
      <c r="F6" s="461"/>
      <c r="G6" s="461"/>
      <c r="H6" s="461"/>
      <c r="I6" s="461"/>
      <c r="J6" s="461"/>
      <c r="K6" s="461"/>
      <c r="L6" s="461"/>
      <c r="M6" s="461"/>
      <c r="N6" s="461"/>
      <c r="O6" s="461"/>
      <c r="P6" s="462"/>
      <c r="Q6" s="460">
        <f t="shared" si="0"/>
        <v>3402.7539999999999</v>
      </c>
    </row>
    <row r="7" spans="1:17">
      <c r="A7" s="460" t="s">
        <v>112</v>
      </c>
      <c r="B7" s="461">
        <f>landbouw!B8</f>
        <v>1098.8223599587091</v>
      </c>
      <c r="C7" s="461">
        <f>landbouw!C8</f>
        <v>0</v>
      </c>
      <c r="D7" s="461">
        <f>landbouw!D8</f>
        <v>6501.5856671527872</v>
      </c>
      <c r="E7" s="461">
        <f>landbouw!E8</f>
        <v>11.507105638827623</v>
      </c>
      <c r="F7" s="461">
        <f>landbouw!F8</f>
        <v>5643.7265999333094</v>
      </c>
      <c r="G7" s="461">
        <f>landbouw!G8</f>
        <v>0</v>
      </c>
      <c r="H7" s="461">
        <f>landbouw!H8</f>
        <v>0</v>
      </c>
      <c r="I7" s="461">
        <f>landbouw!I8</f>
        <v>0</v>
      </c>
      <c r="J7" s="461">
        <f>landbouw!J8</f>
        <v>98.134685657144132</v>
      </c>
      <c r="K7" s="461">
        <f>landbouw!K8</f>
        <v>0</v>
      </c>
      <c r="L7" s="461">
        <f>landbouw!L8</f>
        <v>0</v>
      </c>
      <c r="M7" s="461">
        <f>landbouw!M8</f>
        <v>0</v>
      </c>
      <c r="N7" s="461">
        <f>landbouw!N8</f>
        <v>0</v>
      </c>
      <c r="O7" s="461">
        <f>landbouw!O8</f>
        <v>0</v>
      </c>
      <c r="P7" s="462">
        <f>landbouw!P8</f>
        <v>0</v>
      </c>
      <c r="Q7" s="460">
        <f t="shared" si="0"/>
        <v>13353.776418340778</v>
      </c>
    </row>
    <row r="8" spans="1:17">
      <c r="A8" s="460" t="s">
        <v>656</v>
      </c>
      <c r="B8" s="461">
        <f>industrie!B18</f>
        <v>2797.3396894444463</v>
      </c>
      <c r="C8" s="461">
        <f>industrie!C18</f>
        <v>0</v>
      </c>
      <c r="D8" s="461">
        <f>industrie!D18</f>
        <v>3919.7718182053741</v>
      </c>
      <c r="E8" s="461">
        <f>industrie!E18</f>
        <v>38.283429991576142</v>
      </c>
      <c r="F8" s="461">
        <f>industrie!F18</f>
        <v>1453.073393104683</v>
      </c>
      <c r="G8" s="461">
        <f>industrie!G18</f>
        <v>0</v>
      </c>
      <c r="H8" s="461">
        <f>industrie!H18</f>
        <v>0</v>
      </c>
      <c r="I8" s="461">
        <f>industrie!I18</f>
        <v>0</v>
      </c>
      <c r="J8" s="461">
        <f>industrie!J18</f>
        <v>5.7062771292642669</v>
      </c>
      <c r="K8" s="461">
        <f>industrie!K18</f>
        <v>0</v>
      </c>
      <c r="L8" s="461">
        <f>industrie!L18</f>
        <v>0</v>
      </c>
      <c r="M8" s="461">
        <f>industrie!M18</f>
        <v>0</v>
      </c>
      <c r="N8" s="461">
        <f>industrie!N18</f>
        <v>136.35645477188271</v>
      </c>
      <c r="O8" s="461">
        <f>industrie!O18</f>
        <v>0</v>
      </c>
      <c r="P8" s="462">
        <f>industrie!P18</f>
        <v>0</v>
      </c>
      <c r="Q8" s="460">
        <f t="shared" si="0"/>
        <v>8350.5310626472274</v>
      </c>
    </row>
    <row r="9" spans="1:17" s="466" customFormat="1">
      <c r="A9" s="464" t="s">
        <v>574</v>
      </c>
      <c r="B9" s="465">
        <f>transport!B14</f>
        <v>0.78917885184515402</v>
      </c>
      <c r="C9" s="465">
        <f>transport!C14</f>
        <v>0</v>
      </c>
      <c r="D9" s="465">
        <f>transport!D14</f>
        <v>3.5861368847947537</v>
      </c>
      <c r="E9" s="465">
        <f>transport!E14</f>
        <v>381.67134613115951</v>
      </c>
      <c r="F9" s="465">
        <f>transport!F14</f>
        <v>0</v>
      </c>
      <c r="G9" s="465">
        <f>transport!G14</f>
        <v>80294.017830770681</v>
      </c>
      <c r="H9" s="465">
        <f>transport!H14</f>
        <v>12121.830057797362</v>
      </c>
      <c r="I9" s="465">
        <f>transport!I14</f>
        <v>0</v>
      </c>
      <c r="J9" s="465">
        <f>transport!J14</f>
        <v>0</v>
      </c>
      <c r="K9" s="465">
        <f>transport!K14</f>
        <v>0</v>
      </c>
      <c r="L9" s="465">
        <f>transport!L14</f>
        <v>0</v>
      </c>
      <c r="M9" s="465">
        <f>transport!M14</f>
        <v>4028.0973281163183</v>
      </c>
      <c r="N9" s="465">
        <f>transport!N14</f>
        <v>0</v>
      </c>
      <c r="O9" s="465">
        <f>transport!O14</f>
        <v>0</v>
      </c>
      <c r="P9" s="465">
        <f>transport!P14</f>
        <v>0</v>
      </c>
      <c r="Q9" s="464">
        <f>SUM(B9:P9)</f>
        <v>96829.991878552159</v>
      </c>
    </row>
    <row r="10" spans="1:17">
      <c r="A10" s="460" t="s">
        <v>564</v>
      </c>
      <c r="B10" s="461">
        <f>transport!B54</f>
        <v>1327.2521130202301</v>
      </c>
      <c r="C10" s="461">
        <f>transport!C54</f>
        <v>0</v>
      </c>
      <c r="D10" s="461">
        <f>transport!D54</f>
        <v>0</v>
      </c>
      <c r="E10" s="461">
        <f>transport!E54</f>
        <v>0</v>
      </c>
      <c r="F10" s="461">
        <f>transport!F54</f>
        <v>0</v>
      </c>
      <c r="G10" s="461">
        <f>transport!G54</f>
        <v>1423.9430084364087</v>
      </c>
      <c r="H10" s="461">
        <f>transport!H54</f>
        <v>0</v>
      </c>
      <c r="I10" s="461">
        <f>transport!I54</f>
        <v>0</v>
      </c>
      <c r="J10" s="461">
        <f>transport!J54</f>
        <v>0</v>
      </c>
      <c r="K10" s="461">
        <f>transport!K54</f>
        <v>0</v>
      </c>
      <c r="L10" s="461">
        <f>transport!L54</f>
        <v>0</v>
      </c>
      <c r="M10" s="461">
        <f>transport!M54</f>
        <v>60.696504162611511</v>
      </c>
      <c r="N10" s="461">
        <f>transport!N54</f>
        <v>0</v>
      </c>
      <c r="O10" s="461">
        <f>transport!O54</f>
        <v>0</v>
      </c>
      <c r="P10" s="462">
        <f>transport!P54</f>
        <v>0</v>
      </c>
      <c r="Q10" s="460">
        <f t="shared" si="0"/>
        <v>2811.8916256192501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124217.95646415208</v>
      </c>
      <c r="C14" s="471">
        <f t="shared" ref="C14:Q14" ca="1" si="1">SUM(C4:C13)</f>
        <v>0</v>
      </c>
      <c r="D14" s="471">
        <f t="shared" ca="1" si="1"/>
        <v>199242.71564382073</v>
      </c>
      <c r="E14" s="471">
        <f t="shared" si="1"/>
        <v>1906.2545009070682</v>
      </c>
      <c r="F14" s="471">
        <f t="shared" ca="1" si="1"/>
        <v>17224.226972202876</v>
      </c>
      <c r="G14" s="471">
        <f t="shared" si="1"/>
        <v>81717.960839207095</v>
      </c>
      <c r="H14" s="471">
        <f t="shared" si="1"/>
        <v>12121.830057797362</v>
      </c>
      <c r="I14" s="471">
        <f t="shared" si="1"/>
        <v>0</v>
      </c>
      <c r="J14" s="471">
        <f t="shared" si="1"/>
        <v>103.8409627864084</v>
      </c>
      <c r="K14" s="471">
        <f t="shared" si="1"/>
        <v>0</v>
      </c>
      <c r="L14" s="471">
        <f t="shared" ca="1" si="1"/>
        <v>0</v>
      </c>
      <c r="M14" s="471">
        <f t="shared" si="1"/>
        <v>4088.7938322789296</v>
      </c>
      <c r="N14" s="471">
        <f t="shared" ca="1" si="1"/>
        <v>1925.9879670312785</v>
      </c>
      <c r="O14" s="471">
        <f t="shared" si="1"/>
        <v>90.673333333333332</v>
      </c>
      <c r="P14" s="472">
        <f t="shared" si="1"/>
        <v>400.4</v>
      </c>
      <c r="Q14" s="472">
        <f t="shared" ca="1" si="1"/>
        <v>443040.64057351719</v>
      </c>
    </row>
    <row r="16" spans="1:17">
      <c r="A16" s="474" t="s">
        <v>569</v>
      </c>
      <c r="B16" s="828">
        <f ca="1">huishoudens!B10</f>
        <v>0.21831883154811374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13667.950007047419</v>
      </c>
      <c r="C21" s="461">
        <f t="shared" ref="C21:C30" ca="1" si="3">C4*$C$16</f>
        <v>0</v>
      </c>
      <c r="D21" s="461">
        <f t="shared" ref="D21:D30" si="4">D4*$D$16</f>
        <v>25508.764655739713</v>
      </c>
      <c r="E21" s="461">
        <f t="shared" ref="E21:E30" si="5">E4*$E$16</f>
        <v>0</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39176.714662787133</v>
      </c>
    </row>
    <row r="22" spans="1:17">
      <c r="A22" s="460" t="s">
        <v>156</v>
      </c>
      <c r="B22" s="461">
        <f t="shared" ca="1" si="2"/>
        <v>11567.741858938094</v>
      </c>
      <c r="C22" s="461">
        <f t="shared" ca="1" si="3"/>
        <v>0</v>
      </c>
      <c r="D22" s="461">
        <f t="shared" ca="1" si="4"/>
        <v>12632.425292619007</v>
      </c>
      <c r="E22" s="461">
        <f t="shared" si="5"/>
        <v>334.77792454602962</v>
      </c>
      <c r="F22" s="461">
        <f t="shared" ca="1" si="6"/>
        <v>2704.0230034370243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27238.968079540155</v>
      </c>
    </row>
    <row r="23" spans="1:17">
      <c r="A23" s="460" t="s">
        <v>195</v>
      </c>
      <c r="B23" s="461">
        <f t="shared" ca="1" si="2"/>
        <v>742.88527732567024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742.88527732567024</v>
      </c>
    </row>
    <row r="24" spans="1:17">
      <c r="A24" s="460" t="s">
        <v>112</v>
      </c>
      <c r="B24" s="461">
        <f t="shared" ca="1" si="2"/>
        <v>239.8936137051262</v>
      </c>
      <c r="C24" s="461">
        <f t="shared" ca="1" si="3"/>
        <v>0</v>
      </c>
      <c r="D24" s="461">
        <f t="shared" si="4"/>
        <v>1313.3203047648631</v>
      </c>
      <c r="E24" s="461">
        <f t="shared" si="5"/>
        <v>2.6121129800138707</v>
      </c>
      <c r="F24" s="461">
        <f t="shared" si="6"/>
        <v>1506.8750021821936</v>
      </c>
      <c r="G24" s="461">
        <f t="shared" si="7"/>
        <v>0</v>
      </c>
      <c r="H24" s="461">
        <f t="shared" si="8"/>
        <v>0</v>
      </c>
      <c r="I24" s="461">
        <f t="shared" si="9"/>
        <v>0</v>
      </c>
      <c r="J24" s="461">
        <f t="shared" si="10"/>
        <v>34.739678722629023</v>
      </c>
      <c r="K24" s="461">
        <f t="shared" si="11"/>
        <v>0</v>
      </c>
      <c r="L24" s="461">
        <f t="shared" si="12"/>
        <v>0</v>
      </c>
      <c r="M24" s="461">
        <f t="shared" si="13"/>
        <v>0</v>
      </c>
      <c r="N24" s="461">
        <f t="shared" si="14"/>
        <v>0</v>
      </c>
      <c r="O24" s="461">
        <f t="shared" si="15"/>
        <v>0</v>
      </c>
      <c r="P24" s="462">
        <f t="shared" si="16"/>
        <v>0</v>
      </c>
      <c r="Q24" s="460">
        <f t="shared" ca="1" si="17"/>
        <v>3097.4407123548253</v>
      </c>
    </row>
    <row r="25" spans="1:17">
      <c r="A25" s="460" t="s">
        <v>656</v>
      </c>
      <c r="B25" s="461">
        <f t="shared" ca="1" si="2"/>
        <v>610.71193244267488</v>
      </c>
      <c r="C25" s="461">
        <f t="shared" ca="1" si="3"/>
        <v>0</v>
      </c>
      <c r="D25" s="461">
        <f t="shared" si="4"/>
        <v>791.79390727748557</v>
      </c>
      <c r="E25" s="461">
        <f t="shared" si="5"/>
        <v>8.6903386080877851</v>
      </c>
      <c r="F25" s="461">
        <f t="shared" si="6"/>
        <v>387.97059595895035</v>
      </c>
      <c r="G25" s="461">
        <f t="shared" si="7"/>
        <v>0</v>
      </c>
      <c r="H25" s="461">
        <f t="shared" si="8"/>
        <v>0</v>
      </c>
      <c r="I25" s="461">
        <f t="shared" si="9"/>
        <v>0</v>
      </c>
      <c r="J25" s="461">
        <f t="shared" si="10"/>
        <v>2.0200221037595503</v>
      </c>
      <c r="K25" s="461">
        <f t="shared" si="11"/>
        <v>0</v>
      </c>
      <c r="L25" s="461">
        <f t="shared" si="12"/>
        <v>0</v>
      </c>
      <c r="M25" s="461">
        <f t="shared" si="13"/>
        <v>0</v>
      </c>
      <c r="N25" s="461">
        <f t="shared" si="14"/>
        <v>0</v>
      </c>
      <c r="O25" s="461">
        <f t="shared" si="15"/>
        <v>0</v>
      </c>
      <c r="P25" s="462">
        <f t="shared" si="16"/>
        <v>0</v>
      </c>
      <c r="Q25" s="460">
        <f t="shared" ca="1" si="17"/>
        <v>1801.1867963909583</v>
      </c>
    </row>
    <row r="26" spans="1:17" s="466" customFormat="1">
      <c r="A26" s="464" t="s">
        <v>574</v>
      </c>
      <c r="B26" s="822">
        <f t="shared" ca="1" si="2"/>
        <v>0.17229260481731598</v>
      </c>
      <c r="C26" s="465">
        <f t="shared" ca="1" si="3"/>
        <v>0</v>
      </c>
      <c r="D26" s="465">
        <f t="shared" si="4"/>
        <v>0.72439965072854029</v>
      </c>
      <c r="E26" s="465">
        <f t="shared" si="5"/>
        <v>86.639395571773207</v>
      </c>
      <c r="F26" s="465">
        <f t="shared" si="6"/>
        <v>0</v>
      </c>
      <c r="G26" s="465">
        <f t="shared" si="7"/>
        <v>21438.502760815772</v>
      </c>
      <c r="H26" s="465">
        <f t="shared" si="8"/>
        <v>3018.3356843915431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24544.374533034636</v>
      </c>
    </row>
    <row r="27" spans="1:17">
      <c r="A27" s="460" t="s">
        <v>564</v>
      </c>
      <c r="B27" s="461">
        <f t="shared" ca="1" si="2"/>
        <v>289.76413048434165</v>
      </c>
      <c r="C27" s="461">
        <f t="shared" ca="1" si="3"/>
        <v>0</v>
      </c>
      <c r="D27" s="461">
        <f t="shared" si="4"/>
        <v>0</v>
      </c>
      <c r="E27" s="461">
        <f t="shared" si="5"/>
        <v>0</v>
      </c>
      <c r="F27" s="461">
        <f t="shared" si="6"/>
        <v>0</v>
      </c>
      <c r="G27" s="461">
        <f t="shared" si="7"/>
        <v>380.19278325252117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669.95691373686282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27119.119112548145</v>
      </c>
      <c r="C31" s="471">
        <f t="shared" ca="1" si="18"/>
        <v>0</v>
      </c>
      <c r="D31" s="471">
        <f t="shared" ca="1" si="18"/>
        <v>40247.028560051796</v>
      </c>
      <c r="E31" s="471">
        <f t="shared" si="18"/>
        <v>432.71977170590446</v>
      </c>
      <c r="F31" s="471">
        <f t="shared" ca="1" si="18"/>
        <v>4598.8686015781677</v>
      </c>
      <c r="G31" s="471">
        <f t="shared" si="18"/>
        <v>21818.695544068294</v>
      </c>
      <c r="H31" s="471">
        <f t="shared" si="18"/>
        <v>3018.3356843915431</v>
      </c>
      <c r="I31" s="471">
        <f t="shared" si="18"/>
        <v>0</v>
      </c>
      <c r="J31" s="471">
        <f t="shared" si="18"/>
        <v>36.759700826388574</v>
      </c>
      <c r="K31" s="471">
        <f t="shared" si="18"/>
        <v>0</v>
      </c>
      <c r="L31" s="471">
        <f t="shared" ca="1" si="18"/>
        <v>0</v>
      </c>
      <c r="M31" s="471">
        <f t="shared" si="18"/>
        <v>0</v>
      </c>
      <c r="N31" s="471">
        <f t="shared" ca="1" si="18"/>
        <v>0</v>
      </c>
      <c r="O31" s="471">
        <f t="shared" si="18"/>
        <v>0</v>
      </c>
      <c r="P31" s="472">
        <f t="shared" si="18"/>
        <v>0</v>
      </c>
      <c r="Q31" s="472">
        <f t="shared" ca="1" si="18"/>
        <v>97271.526975170258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0.21831883154811374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0.21831883154811374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0.21831883154811374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2018-06-27T09:01:54Z</dcterms:modified>
</cp:coreProperties>
</file>