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N16" i="16" s="1"/>
  <c r="P58" i="1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G80" i="14"/>
  <c r="M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E22" i="14" s="1"/>
  <c r="C97" i="18"/>
  <c r="I100" s="1"/>
  <c r="H7" s="1"/>
  <c r="I67" i="14" s="1"/>
  <c r="D16" i="16"/>
  <c r="O80" i="14"/>
  <c r="J8" i="18"/>
  <c r="K68" i="14" s="1"/>
  <c r="F13" i="15"/>
  <c r="D6" i="17"/>
  <c r="L68" i="14"/>
  <c r="B16" i="18"/>
  <c r="B78" i="14" s="1"/>
  <c r="B81" s="1"/>
  <c r="D12" i="22"/>
  <c r="E17" i="14"/>
  <c r="D13" i="48"/>
  <c r="D30" s="1"/>
  <c r="D31" i="20"/>
  <c r="E43" i="14" s="1"/>
  <c r="I101" i="18"/>
  <c r="H16" s="1"/>
  <c r="I78" i="14"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E31" i="20"/>
  <c r="F43" i="14" s="1"/>
  <c r="H14" i="22"/>
  <c r="F8" i="17"/>
  <c r="G22" i="14" s="1"/>
  <c r="E9"/>
  <c r="J9"/>
  <c r="N9"/>
  <c r="N15" s="1"/>
  <c r="I11" i="48"/>
  <c r="M11"/>
  <c r="M28" s="1"/>
  <c r="M19" i="19"/>
  <c r="N35" i="14" s="1"/>
  <c r="J7" i="15"/>
  <c r="O5" i="16"/>
  <c r="B7" i="18"/>
  <c r="B67" i="14" s="1"/>
  <c r="E19" i="18"/>
  <c r="I19"/>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H69"/>
  <c r="P20"/>
  <c r="K20"/>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B10" i="48"/>
  <c r="C18" i="14"/>
  <c r="P24" i="48"/>
  <c r="E5" i="17"/>
  <c r="C8"/>
  <c r="G24" i="48"/>
  <c r="K14"/>
  <c r="I24"/>
  <c r="G81" i="14"/>
  <c r="D79"/>
  <c r="H79"/>
  <c r="H81" s="1"/>
  <c r="L79"/>
  <c r="L81" s="1"/>
  <c r="F79"/>
  <c r="F81" s="1"/>
  <c r="J79"/>
  <c r="E68"/>
  <c r="E69" s="1"/>
  <c r="I68"/>
  <c r="M68"/>
  <c r="M69" s="1"/>
  <c r="D19" i="18"/>
  <c r="H19"/>
  <c r="L19"/>
  <c r="B68" i="14"/>
  <c r="G68"/>
  <c r="G69" s="1"/>
  <c r="E81"/>
  <c r="I81"/>
  <c r="M81"/>
  <c r="F19" i="18"/>
  <c r="D11" i="14"/>
  <c r="C4" i="48"/>
  <c r="M17" i="18"/>
  <c r="M18"/>
  <c r="D13" i="14"/>
  <c r="B19" i="18" l="1"/>
  <c r="C100"/>
  <c r="D12" i="17"/>
  <c r="E48" i="14" s="1"/>
  <c r="J41"/>
  <c r="G13" i="48"/>
  <c r="G30" s="1"/>
  <c r="N8" i="17"/>
  <c r="N5"/>
  <c r="L5"/>
  <c r="L8" s="1"/>
  <c r="C78" i="14"/>
  <c r="H9" i="18"/>
  <c r="D7" i="48"/>
  <c r="D24" s="1"/>
  <c r="D100" i="18"/>
  <c r="G100"/>
  <c r="I7" s="1"/>
  <c r="J81" i="14"/>
  <c r="L29" i="48"/>
  <c r="G31" i="20"/>
  <c r="H43" i="14" s="1"/>
  <c r="E100" i="18"/>
  <c r="E7" s="1"/>
  <c r="H100"/>
  <c r="M8"/>
  <c r="F7" i="48"/>
  <c r="F24" s="1"/>
  <c r="L30"/>
  <c r="B100" i="18"/>
  <c r="C7" s="1"/>
  <c r="B35" i="13"/>
  <c r="I69" i="14"/>
  <c r="J12" i="17"/>
  <c r="K48" i="14" s="1"/>
  <c r="F12" i="17"/>
  <c r="G48" i="14" s="1"/>
  <c r="F100" i="18"/>
  <c r="D81" i="14"/>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J7" i="18"/>
  <c r="O68" i="14"/>
  <c r="C68"/>
  <c r="F22"/>
  <c r="E8" i="17"/>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M19" i="18"/>
  <c r="L7" i="48" l="1"/>
  <c r="L24" s="1"/>
  <c r="L12" i="17"/>
  <c r="M48" i="14" s="1"/>
  <c r="M22"/>
  <c r="R22" s="1"/>
  <c r="F67"/>
  <c r="F69" s="1"/>
  <c r="E9" i="18"/>
  <c r="C81" i="14"/>
  <c r="E13"/>
  <c r="O22"/>
  <c r="N7" i="48"/>
  <c r="N24" s="1"/>
  <c r="N12" i="17"/>
  <c r="O48" i="14" s="1"/>
  <c r="D67"/>
  <c r="C9" i="18"/>
  <c r="D8" i="48"/>
  <c r="D25" s="1"/>
  <c r="D31" s="1"/>
  <c r="E20" i="15"/>
  <c r="F36" i="14" s="1"/>
  <c r="E16" i="15"/>
  <c r="K67" i="14"/>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L3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O13" l="1"/>
  <c r="O15" s="1"/>
  <c r="F13"/>
  <c r="F15" s="1"/>
  <c r="F23" s="1"/>
  <c r="F55" s="1"/>
  <c r="F22" i="16"/>
  <c r="G39" i="14" s="1"/>
  <c r="G41" s="1"/>
  <c r="G53" s="1"/>
  <c r="G55" s="1"/>
  <c r="O69" s="1"/>
  <c r="B9" i="6" s="1"/>
  <c r="B12" s="1"/>
  <c r="N25" i="48"/>
  <c r="N31" s="1"/>
  <c r="N14"/>
  <c r="E8"/>
  <c r="Q8" s="1"/>
  <c r="Q14" s="1"/>
  <c r="J22" i="16"/>
  <c r="K39" i="14" s="1"/>
  <c r="K41" s="1"/>
  <c r="K53" s="1"/>
  <c r="J31" i="48"/>
  <c r="J14"/>
  <c r="R20" i="14"/>
  <c r="N55"/>
  <c r="H55"/>
  <c r="G31" i="48"/>
  <c r="O53" i="14"/>
  <c r="M53"/>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<sst xmlns="http://schemas.openxmlformats.org/spreadsheetml/2006/main" count="2047" uniqueCount="905">
  <si>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</si>
  <si>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</si>
  <si>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</si>
  <si>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</si>
  <si>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</si>
  <si>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</si>
  <si>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</si>
  <si>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</si>
  <si>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</si>
  <si>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</si>
  <si>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</si>
  <si>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</si>
  <si>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</si>
  <si>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</si>
  <si>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</si>
  <si>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</si>
  <si>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</si>
  <si>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</si>
  <si>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</si>
  <si>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</si>
  <si>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</si>
  <si>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</si>
  <si>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</si>
  <si>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</si>
  <si>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</si>
  <si>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</si>
  <si>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</si>
  <si>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</si>
  <si>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</si>
  <si>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</si>
  <si>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</si>
  <si>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</si>
  <si>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</si>
  <si>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</si>
  <si>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</si>
  <si>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</si>
  <si>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</si>
  <si>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</si>
  <si>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</si>
  <si>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</si>
  <si>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</si>
  <si>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</si>
  <si>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</si>
  <si>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</si>
  <si>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</si>
  <si>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</si>
  <si>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</si>
  <si>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</si>
  <si>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</si>
  <si>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</si>
  <si>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</si>
  <si>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</si>
  <si>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</si>
  <si>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</si>
  <si>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</si>
  <si>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</si>
  <si>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</si>
  <si>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</si>
  <si>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</si>
  <si>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</si>
  <si>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</si>
  <si>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</si>
  <si>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</si>
  <si>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</si>
  <si>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</si>
  <si>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</si>
  <si>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</si>
  <si>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</si>
  <si>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</si>
  <si>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</si>
  <si>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</si>
  <si>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</si>
  <si>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</si>
  <si>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</si>
  <si>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</si>
  <si>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</si>
  <si>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</si>
  <si>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</si>
  <si>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</si>
  <si>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</si>
  <si>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</si>
  <si>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</si>
  <si>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</si>
  <si>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</si>
  <si>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</si>
  <si>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</si>
  <si>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</si>
  <si>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</si>
  <si>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</si>
  <si>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</si>
  <si>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</si>
  <si>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</si>
  <si>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</si>
  <si>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</si>
  <si>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</si>
  <si>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</si>
  <si>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</si>
  <si>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</si>
  <si>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</si>
  <si>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</si>
  <si>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</si>
  <si>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</si>
  <si>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</si>
  <si>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</si>
  <si>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</si>
  <si>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</si>
  <si>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</si>
  <si>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</si>
  <si>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</si>
  <si>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</si>
  <si>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</si>
  <si>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</si>
  <si>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</si>
  <si>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</si>
  <si>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</si>
  <si>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</si>
  <si>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</si>
  <si>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</si>
  <si>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</si>
  <si>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</si>
  <si>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</si>
  <si>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</si>
  <si>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</si>
  <si>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</si>
  <si>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</si>
  <si>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</si>
  <si>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</si>
  <si>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</si>
  <si>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</si>
  <si>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</si>
  <si>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</si>
  <si>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</si>
  <si>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</si>
  <si>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</si>
  <si>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</si>
  <si>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</si>
  <si>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</si>
  <si>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</si>
  <si>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</si>
  <si>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</si>
  <si>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</si>
  <si>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</si>
  <si>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</si>
  <si>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</si>
  <si>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</si>
  <si>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</si>
  <si>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</si>
  <si>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</si>
  <si>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</si>
  <si>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</si>
  <si>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</si>
  <si>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</si>
  <si>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</si>
  <si>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</si>
  <si>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</si>
  <si>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</si>
  <si>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</si>
  <si>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</si>
  <si>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</si>
  <si>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</si>
  <si>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</si>
  <si>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</si>
  <si>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</si>
  <si>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</si>
  <si>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</si>
  <si>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</si>
  <si>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</si>
  <si>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</si>
  <si>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</si>
  <si>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</si>
  <si>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</si>
  <si>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</si>
  <si>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</si>
  <si>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</si>
  <si>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</si>
  <si>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</si>
  <si>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</si>
  <si>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</si>
  <si>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</si>
  <si>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</si>
  <si>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</si>
  <si>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</si>
  <si>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</si>
  <si>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</si>
  <si>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</si>
  <si>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</si>
  <si>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</si>
  <si>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</si>
  <si>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</si>
  <si>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</si>
  <si>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</si>
  <si>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</si>
  <si>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</si>
  <si>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</si>
  <si>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</si>
  <si>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</si>
  <si>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</si>
  <si>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</si>
  <si>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</si>
  <si>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</si>
  <si>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</si>
  <si>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</si>
  <si>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</si>
  <si>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</si>
  <si>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</si>
  <si>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</si>
  <si>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</si>
  <si>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</si>
  <si>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</si>
  <si>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</si>
  <si>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</si>
  <si>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</si>
  <si>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</si>
  <si>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</si>
  <si>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</si>
  <si>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</si>
  <si>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</si>
  <si>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</si>
  <si>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</si>
  <si>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</si>
  <si>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</si>
  <si>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</si>
  <si>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</si>
  <si>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</si>
  <si>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</si>
  <si>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</si>
  <si>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</si>
  <si>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</si>
  <si>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</si>
  <si>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</si>
  <si>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</si>
  <si>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</si>
  <si>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</si>
  <si>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</si>
  <si>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</si>
  <si>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</si>
  <si>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</si>
  <si>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</si>
  <si>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</si>
  <si>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</si>
  <si>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</si>
  <si>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</si>
  <si>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</si>
  <si>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</si>
  <si>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</si>
  <si>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</si>
  <si>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</si>
  <si>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</si>
  <si>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</si>
  <si>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</si>
  <si>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</si>
  <si>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</si>
  <si>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</si>
  <si>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</si>
  <si>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</si>
  <si>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</si>
  <si>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</si>
  <si>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</si>
  <si>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</si>
  <si>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</si>
  <si>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</si>
  <si>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</si>
  <si>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</si>
  <si>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</si>
  <si>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</si>
  <si>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</si>
  <si>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</si>
  <si>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</si>
  <si>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</si>
  <si>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</si>
  <si>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</si>
  <si>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</si>
  <si>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</si>
  <si>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</si>
  <si>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</si>
  <si>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</si>
  <si>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</si>
  <si>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</si>
  <si>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</si>
  <si>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</si>
  <si>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</si>
  <si>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</si>
  <si>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</si>
  <si>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</si>
  <si>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</si>
  <si>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</si>
  <si>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</si>
  <si>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</si>
  <si>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</si>
  <si>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</si>
  <si>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</si>
  <si>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</si>
  <si>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</si>
  <si>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</si>
  <si>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</si>
  <si>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</si>
  <si>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</si>
  <si>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</si>
  <si>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</si>
  <si>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</si>
  <si>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</si>
  <si>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</si>
  <si>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</si>
  <si>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</si>
  <si>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</si>
  <si>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</si>
  <si>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</si>
  <si>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</si>
  <si>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</si>
  <si>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</si>
  <si>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</si>
  <si>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</si>
  <si>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</si>
  <si>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</si>
  <si>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</si>
  <si>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</si>
  <si>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</si>
  <si>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</si>
  <si>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</si>
  <si>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</si>
  <si>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</si>
  <si>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</si>
  <si>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</si>
  <si>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</si>
  <si>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</si>
  <si>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</si>
  <si>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</si>
  <si>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</si>
  <si>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</si>
  <si>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</si>
  <si>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</si>
  <si>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</si>
  <si>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</si>
  <si>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</si>
  <si>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</si>
  <si>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</si>
  <si>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</si>
  <si>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</si>
  <si>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</si>
  <si>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</si>
  <si>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</si>
  <si>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</si>
  <si>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</si>
  <si>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</si>
  <si>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</si>
  <si>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</si>
  <si>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</si>
  <si>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</si>
  <si>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</si>
  <si>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</si>
  <si>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</si>
  <si>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</si>
  <si>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</si>
  <si>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</si>
  <si>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</si>
  <si>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</si>
  <si>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</si>
  <si>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</si>
  <si>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</si>
  <si>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</si>
  <si>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</si>
  <si>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</si>
  <si>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</si>
  <si>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</si>
  <si>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</si>
  <si>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</si>
  <si>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</si>
  <si>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</si>
  <si>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</si>
  <si>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</si>
  <si>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</si>
  <si>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</si>
  <si>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</si>
  <si>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</si>
  <si>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</si>
  <si>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</si>
  <si>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</si>
  <si>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</si>
  <si>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</si>
  <si>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</si>
  <si>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</si>
  <si>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</si>
  <si>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</si>
  <si>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</si>
  <si>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</si>
  <si>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</si>
  <si>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</si>
  <si>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</si>
  <si>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</si>
  <si>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</si>
  <si>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</si>
  <si>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</si>
  <si>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</si>
  <si>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</si>
  <si>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</si>
  <si>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</si>
  <si>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</si>
  <si>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</si>
  <si>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</si>
  <si>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</si>
  <si>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</si>
  <si>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</si>
  <si>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</si>
  <si>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</si>
  <si>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</si>
  <si>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</si>
  <si>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</si>
  <si>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</si>
  <si>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</si>
  <si>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</si>
  <si>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</si>
  <si>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</si>
  <si>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</si>
  <si>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</si>
  <si>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</si>
  <si>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</si>
  <si>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</si>
  <si>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</si>
  <si>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</si>
  <si>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</si>
  <si>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</si>
  <si>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</si>
  <si>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</si>
  <si>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</si>
  <si>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</si>
  <si>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</si>
  <si>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</si>
  <si>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</si>
  <si>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</si>
  <si>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</si>
  <si>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</si>
  <si>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</si>
  <si>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</si>
  <si>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</si>
  <si>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</si>
  <si>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</si>
  <si>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</si>
  <si>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</si>
  <si>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</si>
  <si>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</si>
  <si>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</si>
  <si>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</si>
  <si>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</si>
  <si>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</si>
  <si>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</si>
  <si>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</si>
  <si>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</si>
  <si>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</si>
  <si>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</si>
  <si>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</si>
  <si>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</si>
  <si>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</si>
  <si>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</si>
  <si>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</si>
  <si>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</si>
  <si>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</si>
  <si>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</si>
  <si>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</si>
  <si>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</si>
  <si>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</si>
  <si>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</si>
  <si>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</si>
  <si>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</si>
  <si>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</si>
  <si>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</si>
  <si>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</si>
  <si>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</si>
  <si>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</si>
  <si>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</si>
  <si>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</si>
  <si>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</si>
  <si>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</si>
  <si>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</si>
  <si>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</si>
  <si>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</si>
  <si>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</si>
  <si>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</si>
  <si>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</si>
  <si>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</si>
  <si>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</si>
  <si>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</si>
  <si>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</si>
  <si>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</si>
  <si>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</si>
  <si>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</si>
  <si>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</si>
  <si>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</si>
  <si>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</si>
  <si>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</si>
  <si>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</si>
  <si>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</si>
  <si>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</si>
  <si>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</si>
  <si>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</si>
  <si>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</si>
  <si>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</si>
  <si>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</si>
  <si>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</si>
  <si>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</si>
  <si>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</si>
  <si>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</si>
  <si>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</si>
  <si>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</si>
  <si>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</si>
  <si>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</si>
  <si>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</si>
  <si>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</si>
  <si>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</si>
  <si>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</si>
  <si>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</si>
  <si>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</si>
  <si>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</si>
  <si>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</si>
  <si>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</si>
  <si>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</si>
  <si>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</si>
  <si>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</si>
  <si>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</si>
  <si>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</si>
  <si>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</si>
  <si>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</si>
  <si>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</si>
  <si>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</si>
  <si>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</si>
  <si>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</si>
  <si>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</si>
  <si>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</si>
  <si>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</si>
  <si>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</si>
  <si>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</si>
  <si>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</si>
  <si>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</si>
  <si>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</si>
  <si>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</si>
  <si>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</si>
  <si>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</si>
  <si>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</si>
  <si>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</si>
  <si>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</si>
  <si>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</si>
  <si>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</si>
  <si>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</si>
  <si>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</si>
  <si>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</si>
  <si>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</si>
  <si>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</si>
  <si>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</si>
  <si>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</si>
  <si>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</si>
  <si>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</si>
  <si>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</si>
  <si>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</si>
  <si>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</si>
  <si>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</si>
  <si>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</si>
  <si>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</si>
  <si>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</si>
  <si>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</si>
  <si>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</si>
  <si>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</si>
  <si>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</si>
  <si>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</si>
  <si>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</si>
  <si>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</si>
  <si>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</si>
  <si>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</si>
  <si>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</si>
  <si>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</si>
  <si>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</si>
  <si>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</si>
  <si>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</si>
  <si>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</si>
  <si>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</si>
  <si>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</si>
  <si>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</si>
  <si>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</si>
  <si>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</si>
  <si>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</si>
  <si>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</si>
  <si>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</si>
  <si>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</si>
  <si>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</si>
  <si>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</si>
  <si>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</si>
  <si>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</si>
  <si>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</si>
  <si>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</si>
  <si>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</si>
  <si>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</si>
  <si>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</si>
  <si>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</si>
  <si>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</si>
  <si>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</si>
  <si>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</si>
  <si>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</si>
  <si>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</si>
  <si>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</si>
  <si>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</si>
  <si>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</si>
  <si>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</si>
  <si>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</si>
  <si>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</si>
  <si>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</si>
  <si>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</si>
  <si>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</si>
  <si>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</si>
  <si>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</si>
  <si>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</si>
  <si>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</si>
  <si>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</si>
  <si>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</si>
  <si>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</si>
  <si>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</si>
  <si>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</si>
  <si>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</si>
  <si>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</si>
  <si>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</si>
  <si>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</si>
  <si>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</si>
  <si>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</si>
  <si>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</si>
  <si>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</si>
  <si>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</si>
  <si>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</si>
  <si>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</si>
  <si>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</si>
  <si>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</si>
  <si>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</si>
  <si>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</si>
  <si>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</si>
  <si>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</si>
  <si>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</si>
  <si>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</si>
  <si>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</si>
  <si>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</si>
  <si>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</si>
  <si>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</si>
  <si>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</si>
  <si>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</si>
  <si>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</si>
  <si>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</si>
  <si>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</si>
  <si>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</si>
  <si>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</si>
  <si>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</si>
  <si>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</si>
  <si>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</si>
  <si>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</si>
  <si>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</si>
  <si>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</si>
  <si>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</si>
  <si>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</si>
  <si>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</si>
  <si>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</si>
  <si>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</si>
  <si>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</si>
  <si>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</si>
  <si>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</si>
  <si>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</si>
  <si>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</si>
  <si>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</si>
  <si>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</si>
  <si>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</si>
  <si>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</si>
  <si>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</si>
  <si>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</si>
  <si>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</si>
  <si>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</si>
  <si>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</si>
  <si>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</si>
  <si>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</si>
  <si>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</si>
  <si>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</si>
  <si>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</si>
  <si>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</si>
  <si>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</si>
  <si>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</si>
  <si>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</si>
  <si>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</si>
  <si>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</si>
  <si>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</si>
  <si>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</si>
  <si>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</si>
  <si>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</si>
  <si>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</si>
  <si>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</si>
  <si>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</si>
  <si>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</si>
  <si>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</si>
  <si>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</si>
  <si>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</si>
  <si>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</si>
  <si>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</si>
  <si>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</si>
  <si>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</si>
  <si>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</si>
  <si>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</si>
  <si>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</si>
  <si>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</si>
  <si>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</si>
  <si>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</si>
  <si>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</si>
  <si>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</si>
  <si>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</si>
  <si>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</si>
  <si>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</si>
  <si>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</si>
  <si>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</si>
  <si>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</si>
  <si>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</si>
  <si>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</si>
  <si>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</si>
  <si>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</si>
  <si>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</si>
  <si>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</si>
  <si>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</si>
  <si>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</si>
  <si>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</si>
  <si>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</si>
  <si>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</si>
  <si>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</si>
  <si>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</si>
  <si>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</si>
  <si>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</si>
  <si>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</si>
  <si>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</si>
  <si>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</si>
  <si>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</si>
  <si>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</si>
  <si>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</si>
  <si>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</si>
  <si>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</si>
  <si>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</si>
  <si>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</si>
  <si>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</si>
  <si>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</si>
  <si>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</si>
  <si>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</si>
  <si>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</si>
  <si>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</si>
  <si>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</si>
  <si>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</si>
  <si>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</si>
  <si>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</si>
  <si>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</si>
  <si>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</si>
  <si>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</si>
  <si>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</si>
  <si>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</si>
  <si>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</si>
  <si>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</si>
  <si>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</si>
  <si>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</si>
  <si>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</si>
  <si>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</si>
  <si>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</si>
  <si>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</si>
  <si>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</si>
  <si>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</si>
  <si>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</si>
  <si>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</si>
  <si>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</si>
  <si>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</si>
  <si>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</si>
  <si>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</si>
  <si>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</si>
  <si>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</si>
  <si>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</si>
  <si>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</si>
  <si>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</si>
  <si>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</si>
  <si>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</si>
  <si>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</si>
  <si>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</si>
  <si>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</si>
  <si>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</si>
  <si>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</si>
  <si>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</si>
  <si>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</si>
  <si>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</si>
  <si>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</si>
  <si>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</si>
  <si>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</si>
  <si>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</si>
  <si>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</si>
  <si>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</si>
  <si>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</si>
  <si>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</si>
  <si>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</si>
  <si>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</si>
  <si>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</si>
  <si>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</si>
  <si>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</si>
  <si>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</si>
  <si>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</si>
  <si>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</si>
  <si>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</si>
  <si>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</si>
  <si>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</si>
  <si>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</si>
  <si>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</si>
  <si>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</si>
  <si>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</si>
  <si>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</si>
  <si>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</si>
  <si>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</si>
  <si>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</si>
  <si>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</si>
  <si>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</si>
  <si>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</si>
  <si>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</si>
  <si>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</si>
  <si>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</si>
  <si>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</si>
  <si>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</si>
  <si>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</si>
  <si>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</si>
  <si>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</si>
  <si>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</si>
  <si>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</si>
  <si>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</si>
  <si>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</si>
  <si>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</si>
  <si>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</si>
  <si>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</si>
  <si>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</si>
  <si>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</si>
  <si>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</si>
  <si>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</si>
  <si>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</si>
  <si>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</si>
  <si>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</si>
  <si>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</si>
  <si>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</si>
  <si>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</si>
  <si>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</si>
  <si>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</si>
  <si>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</si>
  <si>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</si>
  <si>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</si>
  <si>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</si>
  <si>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</si>
  <si>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</si>
  <si>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</si>
  <si>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</si>
  <si>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</si>
  <si>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</si>
  <si>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</si>
  <si>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</si>
  <si>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</si>
  <si>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</si>
  <si>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</si>
  <si>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</si>
  <si>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</si>
  <si>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</si>
  <si>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</si>
  <si>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</si>
  <si>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</si>
  <si>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</si>
  <si>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</si>
  <si>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</si>
  <si>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</si>
  <si>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</si>
  <si>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</si>
  <si>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</si>
  <si>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</si>
  <si>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</si>
  <si>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</si>
  <si>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</si>
  <si>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</si>
  <si>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</si>
  <si>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</si>
  <si>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</si>
  <si>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</si>
  <si>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</si>
  <si>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</si>
  <si>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</si>
  <si>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</si>
  <si>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</si>
  <si>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</si>
  <si>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</si>
  <si>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</si>
  <si>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</si>
  <si>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</si>
  <si>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</si>
  <si>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37002</t>
  </si>
  <si>
    <t>DENTERGEM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</si>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</sst>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37002</v>
      </c>
      <c r="B6" s="396"/>
      <c r="C6" s="397"/>
    </row>
    <row r="7" spans="1:7" s="394" customFormat="1" ht="15.75" customHeight="1">
      <c r="A7" s="398" t="str">
        <f>txtMunicipality</f>
        <v>DENTERGEM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3203</v>
      </c>
      <c r="C9" s="336">
        <v>3405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1772</v>
      </c>
    </row>
    <row r="15" spans="1:6">
      <c r="A15" s="1194" t="s">
        <v>185</v>
      </c>
      <c r="B15" s="333">
        <v>29</v>
      </c>
    </row>
    <row r="16" spans="1:6">
      <c r="A16" s="1194" t="s">
        <v>6</v>
      </c>
      <c r="B16" s="333">
        <v>719</v>
      </c>
    </row>
    <row r="17" spans="1:6">
      <c r="A17" s="1194" t="s">
        <v>7</v>
      </c>
      <c r="B17" s="333">
        <v>974</v>
      </c>
    </row>
    <row r="18" spans="1:6">
      <c r="A18" s="1194" t="s">
        <v>8</v>
      </c>
      <c r="B18" s="333">
        <v>1140</v>
      </c>
    </row>
    <row r="19" spans="1:6">
      <c r="A19" s="1194" t="s">
        <v>9</v>
      </c>
      <c r="B19" s="333">
        <v>1103</v>
      </c>
    </row>
    <row r="20" spans="1:6">
      <c r="A20" s="1194" t="s">
        <v>10</v>
      </c>
      <c r="B20" s="333">
        <v>660</v>
      </c>
    </row>
    <row r="21" spans="1:6">
      <c r="A21" s="1194" t="s">
        <v>11</v>
      </c>
      <c r="B21" s="333">
        <v>12405</v>
      </c>
    </row>
    <row r="22" spans="1:6">
      <c r="A22" s="1194" t="s">
        <v>12</v>
      </c>
      <c r="B22" s="333">
        <v>28968</v>
      </c>
    </row>
    <row r="23" spans="1:6">
      <c r="A23" s="1194" t="s">
        <v>13</v>
      </c>
      <c r="B23" s="333">
        <v>641</v>
      </c>
    </row>
    <row r="24" spans="1:6">
      <c r="A24" s="1194" t="s">
        <v>14</v>
      </c>
      <c r="B24" s="333">
        <v>38</v>
      </c>
    </row>
    <row r="25" spans="1:6">
      <c r="A25" s="1194" t="s">
        <v>15</v>
      </c>
      <c r="B25" s="333">
        <v>3598</v>
      </c>
    </row>
    <row r="26" spans="1:6">
      <c r="A26" s="1194" t="s">
        <v>16</v>
      </c>
      <c r="B26" s="333">
        <v>63</v>
      </c>
    </row>
    <row r="27" spans="1:6">
      <c r="A27" s="1194" t="s">
        <v>17</v>
      </c>
      <c r="B27" s="333">
        <v>0</v>
      </c>
    </row>
    <row r="28" spans="1:6">
      <c r="A28" s="1194" t="s">
        <v>18</v>
      </c>
      <c r="B28" s="333">
        <v>161737</v>
      </c>
    </row>
    <row r="29" spans="1:6">
      <c r="A29" s="1194" t="s">
        <v>888</v>
      </c>
      <c r="B29" s="333">
        <v>78</v>
      </c>
    </row>
    <row r="30" spans="1:6">
      <c r="A30" s="1190" t="s">
        <v>889</v>
      </c>
      <c r="B30" s="1190">
        <v>27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1243</v>
      </c>
      <c r="D39" s="333">
        <v>20014787.146665599</v>
      </c>
      <c r="E39" s="333">
        <v>2924</v>
      </c>
      <c r="F39" s="333">
        <v>13958903.574307701</v>
      </c>
    </row>
    <row r="40" spans="1:6">
      <c r="A40" s="1194" t="s">
        <v>30</v>
      </c>
      <c r="B40" s="1194" t="s">
        <v>29</v>
      </c>
      <c r="C40" s="333">
        <v>0</v>
      </c>
      <c r="D40" s="333">
        <v>0</v>
      </c>
      <c r="E40" s="333">
        <v>0</v>
      </c>
      <c r="F40" s="333">
        <v>0</v>
      </c>
    </row>
    <row r="41" spans="1:6">
      <c r="A41" s="1194" t="s">
        <v>32</v>
      </c>
      <c r="B41" s="1194" t="s">
        <v>33</v>
      </c>
      <c r="C41" s="333">
        <v>19</v>
      </c>
      <c r="D41" s="333">
        <v>460517.08925488102</v>
      </c>
      <c r="E41" s="333">
        <v>105</v>
      </c>
      <c r="F41" s="333">
        <v>1690226.44729435</v>
      </c>
    </row>
    <row r="42" spans="1:6">
      <c r="A42" s="1194" t="s">
        <v>32</v>
      </c>
      <c r="B42" s="1194" t="s">
        <v>34</v>
      </c>
      <c r="C42" s="333">
        <v>0</v>
      </c>
      <c r="D42" s="333">
        <v>0</v>
      </c>
      <c r="E42" s="333">
        <v>3</v>
      </c>
      <c r="F42" s="333">
        <v>292499.26385149697</v>
      </c>
    </row>
    <row r="43" spans="1:6">
      <c r="A43" s="1194" t="s">
        <v>32</v>
      </c>
      <c r="B43" s="1194" t="s">
        <v>35</v>
      </c>
      <c r="C43" s="333">
        <v>0</v>
      </c>
      <c r="D43" s="333">
        <v>0</v>
      </c>
      <c r="E43" s="333">
        <v>0</v>
      </c>
      <c r="F43" s="333">
        <v>0</v>
      </c>
    </row>
    <row r="44" spans="1:6">
      <c r="A44" s="1194" t="s">
        <v>32</v>
      </c>
      <c r="B44" s="1194" t="s">
        <v>36</v>
      </c>
      <c r="C44" s="333">
        <v>0</v>
      </c>
      <c r="D44" s="333">
        <v>0</v>
      </c>
      <c r="E44" s="333">
        <v>13</v>
      </c>
      <c r="F44" s="333">
        <v>149590.349107552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35520.7913224605</v>
      </c>
      <c r="E47" s="333">
        <v>3</v>
      </c>
      <c r="F47" s="333">
        <v>22889.2601550217</v>
      </c>
    </row>
    <row r="48" spans="1:6">
      <c r="A48" s="1194" t="s">
        <v>32</v>
      </c>
      <c r="B48" s="1194" t="s">
        <v>29</v>
      </c>
      <c r="C48" s="333">
        <v>19</v>
      </c>
      <c r="D48" s="333">
        <v>571526.64868774696</v>
      </c>
      <c r="E48" s="333">
        <v>33</v>
      </c>
      <c r="F48" s="333">
        <v>19244985.7585565</v>
      </c>
    </row>
    <row r="49" spans="1:6">
      <c r="A49" s="1194" t="s">
        <v>32</v>
      </c>
      <c r="B49" s="1194" t="s">
        <v>40</v>
      </c>
      <c r="C49" s="333">
        <v>0</v>
      </c>
      <c r="D49" s="333">
        <v>0</v>
      </c>
      <c r="E49" s="333">
        <v>9</v>
      </c>
      <c r="F49" s="333">
        <v>1348831.2898812301</v>
      </c>
    </row>
    <row r="50" spans="1:6">
      <c r="A50" s="1194" t="s">
        <v>32</v>
      </c>
      <c r="B50" s="1194" t="s">
        <v>41</v>
      </c>
      <c r="C50" s="333">
        <v>7</v>
      </c>
      <c r="D50" s="333">
        <v>542762.92384555005</v>
      </c>
      <c r="E50" s="333">
        <v>14</v>
      </c>
      <c r="F50" s="333">
        <v>490151.16925643297</v>
      </c>
    </row>
    <row r="51" spans="1:6">
      <c r="A51" s="1194" t="s">
        <v>42</v>
      </c>
      <c r="B51" s="1194" t="s">
        <v>43</v>
      </c>
      <c r="C51" s="333">
        <v>0</v>
      </c>
      <c r="D51" s="333">
        <v>0</v>
      </c>
      <c r="E51" s="333">
        <v>105</v>
      </c>
      <c r="F51" s="333">
        <v>3248464.7873152401</v>
      </c>
    </row>
    <row r="52" spans="1:6">
      <c r="A52" s="1194" t="s">
        <v>42</v>
      </c>
      <c r="B52" s="1194" t="s">
        <v>29</v>
      </c>
      <c r="C52" s="333">
        <v>2</v>
      </c>
      <c r="D52" s="333">
        <v>13396815.5814557</v>
      </c>
      <c r="E52" s="333">
        <v>5</v>
      </c>
      <c r="F52" s="333">
        <v>293505.631507424</v>
      </c>
    </row>
    <row r="53" spans="1:6">
      <c r="A53" s="1194" t="s">
        <v>44</v>
      </c>
      <c r="B53" s="1194" t="s">
        <v>45</v>
      </c>
      <c r="C53" s="333">
        <v>52</v>
      </c>
      <c r="D53" s="333">
        <v>992986.41384973004</v>
      </c>
      <c r="E53" s="333">
        <v>124</v>
      </c>
      <c r="F53" s="333">
        <v>710608.35754991998</v>
      </c>
    </row>
    <row r="54" spans="1:6">
      <c r="A54" s="1194" t="s">
        <v>46</v>
      </c>
      <c r="B54" s="1194" t="s">
        <v>47</v>
      </c>
      <c r="C54" s="333">
        <v>0</v>
      </c>
      <c r="D54" s="333">
        <v>0</v>
      </c>
      <c r="E54" s="333">
        <v>1</v>
      </c>
      <c r="F54" s="333">
        <v>604226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11</v>
      </c>
      <c r="D57" s="333">
        <v>256082.00791608301</v>
      </c>
      <c r="E57" s="333">
        <v>55</v>
      </c>
      <c r="F57" s="333">
        <v>552919.687921506</v>
      </c>
    </row>
    <row r="58" spans="1:6">
      <c r="A58" s="1194" t="s">
        <v>49</v>
      </c>
      <c r="B58" s="1194" t="s">
        <v>51</v>
      </c>
      <c r="C58" s="333">
        <v>0</v>
      </c>
      <c r="D58" s="333">
        <v>0</v>
      </c>
      <c r="E58" s="333">
        <v>0</v>
      </c>
      <c r="F58" s="333">
        <v>0</v>
      </c>
    </row>
    <row r="59" spans="1:6">
      <c r="A59" s="1194" t="s">
        <v>49</v>
      </c>
      <c r="B59" s="1194" t="s">
        <v>52</v>
      </c>
      <c r="C59" s="333">
        <v>13</v>
      </c>
      <c r="D59" s="333">
        <v>557221.87066185905</v>
      </c>
      <c r="E59" s="333">
        <v>68</v>
      </c>
      <c r="F59" s="333">
        <v>1951514.0308306699</v>
      </c>
    </row>
    <row r="60" spans="1:6">
      <c r="A60" s="1194" t="s">
        <v>49</v>
      </c>
      <c r="B60" s="1194" t="s">
        <v>53</v>
      </c>
      <c r="C60" s="333">
        <v>14</v>
      </c>
      <c r="D60" s="333">
        <v>420368.632628605</v>
      </c>
      <c r="E60" s="333">
        <v>28</v>
      </c>
      <c r="F60" s="333">
        <v>462723.204776467</v>
      </c>
    </row>
    <row r="61" spans="1:6">
      <c r="A61" s="1194" t="s">
        <v>49</v>
      </c>
      <c r="B61" s="1194" t="s">
        <v>54</v>
      </c>
      <c r="C61" s="333">
        <v>41</v>
      </c>
      <c r="D61" s="333">
        <v>1273342.2711501401</v>
      </c>
      <c r="E61" s="333">
        <v>94</v>
      </c>
      <c r="F61" s="333">
        <v>765786.69892163598</v>
      </c>
    </row>
    <row r="62" spans="1:6">
      <c r="A62" s="1194" t="s">
        <v>49</v>
      </c>
      <c r="B62" s="1194" t="s">
        <v>55</v>
      </c>
      <c r="C62" s="333">
        <v>3</v>
      </c>
      <c r="D62" s="333">
        <v>153133.133387443</v>
      </c>
      <c r="E62" s="333">
        <v>4</v>
      </c>
      <c r="F62" s="333">
        <v>33354.5879243444</v>
      </c>
    </row>
    <row r="63" spans="1:6">
      <c r="A63" s="1194" t="s">
        <v>49</v>
      </c>
      <c r="B63" s="1194" t="s">
        <v>29</v>
      </c>
      <c r="C63" s="333">
        <v>46</v>
      </c>
      <c r="D63" s="333">
        <v>2116422.03666237</v>
      </c>
      <c r="E63" s="333">
        <v>82</v>
      </c>
      <c r="F63" s="333">
        <v>3246591.7237017802</v>
      </c>
    </row>
    <row r="64" spans="1:6">
      <c r="A64" s="1194" t="s">
        <v>56</v>
      </c>
      <c r="B64" s="1194" t="s">
        <v>57</v>
      </c>
      <c r="C64" s="333">
        <v>0</v>
      </c>
      <c r="D64" s="333">
        <v>0</v>
      </c>
      <c r="E64" s="333">
        <v>0</v>
      </c>
      <c r="F64" s="333">
        <v>0</v>
      </c>
    </row>
    <row r="65" spans="1:6">
      <c r="A65" s="1194" t="s">
        <v>56</v>
      </c>
      <c r="B65" s="1194" t="s">
        <v>29</v>
      </c>
      <c r="C65" s="333">
        <v>1</v>
      </c>
      <c r="D65" s="333">
        <v>22366.474427239398</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11</v>
      </c>
      <c r="F68" s="333">
        <v>125016.924520375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21310175</v>
      </c>
      <c r="E73" s="333">
        <v>23931886.096541256</v>
      </c>
      <c r="F73" s="333">
        <v>21690679</v>
      </c>
    </row>
    <row r="74" spans="1:6">
      <c r="A74" s="1194" t="s">
        <v>64</v>
      </c>
      <c r="B74" s="1194" t="s">
        <v>775</v>
      </c>
      <c r="C74" s="1205" t="s">
        <v>776</v>
      </c>
      <c r="D74" s="333">
        <v>3454941.3087777612</v>
      </c>
      <c r="E74" s="333">
        <v>3944775.2683320018</v>
      </c>
      <c r="F74" s="333">
        <v>3605063.1396843968</v>
      </c>
    </row>
    <row r="75" spans="1:6">
      <c r="A75" s="1194" t="s">
        <v>65</v>
      </c>
      <c r="B75" s="1194" t="s">
        <v>773</v>
      </c>
      <c r="C75" s="1205" t="s">
        <v>777</v>
      </c>
      <c r="D75" s="333">
        <v>9347192</v>
      </c>
      <c r="E75" s="333">
        <v>10257109.050699454</v>
      </c>
      <c r="F75" s="333">
        <v>9182020</v>
      </c>
    </row>
    <row r="76" spans="1:6">
      <c r="A76" s="1194" t="s">
        <v>65</v>
      </c>
      <c r="B76" s="1194" t="s">
        <v>775</v>
      </c>
      <c r="C76" s="1205" t="s">
        <v>778</v>
      </c>
      <c r="D76" s="333">
        <v>988116.30877776106</v>
      </c>
      <c r="E76" s="333">
        <v>1104245.9958287757</v>
      </c>
      <c r="F76" s="333">
        <v>993502.13968439668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45181.382444477873</v>
      </c>
      <c r="C83" s="333">
        <v>40706.267469165308</v>
      </c>
      <c r="D83" s="333">
        <v>40361.72063120675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871.91517020637582</v>
      </c>
    </row>
    <row r="92" spans="1:6">
      <c r="A92" s="1190" t="s">
        <v>69</v>
      </c>
      <c r="B92" s="336">
        <v>179.10128722162816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645</v>
      </c>
    </row>
    <row r="98" spans="1:6">
      <c r="A98" s="1194" t="s">
        <v>72</v>
      </c>
      <c r="B98" s="333">
        <v>1</v>
      </c>
    </row>
    <row r="99" spans="1:6">
      <c r="A99" s="1194" t="s">
        <v>73</v>
      </c>
      <c r="B99" s="333">
        <v>67</v>
      </c>
    </row>
    <row r="100" spans="1:6">
      <c r="A100" s="1194" t="s">
        <v>74</v>
      </c>
      <c r="B100" s="333">
        <v>257</v>
      </c>
    </row>
    <row r="101" spans="1:6">
      <c r="A101" s="1194" t="s">
        <v>75</v>
      </c>
      <c r="B101" s="333">
        <v>74</v>
      </c>
    </row>
    <row r="102" spans="1:6">
      <c r="A102" s="1194" t="s">
        <v>76</v>
      </c>
      <c r="B102" s="333">
        <v>67</v>
      </c>
    </row>
    <row r="103" spans="1:6">
      <c r="A103" s="1194" t="s">
        <v>77</v>
      </c>
      <c r="B103" s="333">
        <v>73</v>
      </c>
    </row>
    <row r="104" spans="1:6">
      <c r="A104" s="1194" t="s">
        <v>78</v>
      </c>
      <c r="B104" s="333">
        <v>1713</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18</v>
      </c>
    </row>
    <row r="130" spans="1:6">
      <c r="A130" s="1194" t="s">
        <v>296</v>
      </c>
      <c r="B130" s="333">
        <v>1</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49229.323404801966</v>
      </c>
      <c r="C3" s="43" t="s">
        <v>171</v>
      </c>
      <c r="D3" s="43"/>
      <c r="E3" s="156"/>
      <c r="F3" s="43"/>
      <c r="G3" s="43"/>
      <c r="H3" s="43"/>
      <c r="I3" s="43"/>
      <c r="J3" s="43"/>
      <c r="K3" s="96"/>
    </row>
    <row r="4" spans="1:11">
      <c r="A4" s="364" t="s">
        <v>172</v>
      </c>
      <c r="B4" s="49">
        <f>IF(ISERROR('SEAP template'!B69),0,'SEAP template'!B69)</f>
        <v>6397.0164574280043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1270.4611764705885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0.21808955048106499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1814.9445378151263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7637.1428571428569</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604.226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604.226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0.21808955048106499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131.77537672897196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13958.9035743077</v>
      </c>
      <c r="C5" s="17">
        <f>IF(ISERROR('Eigen informatie GS &amp; warmtenet'!B57),0,'Eigen informatie GS &amp; warmtenet'!B57)</f>
        <v>0</v>
      </c>
      <c r="D5" s="30">
        <f>(SUM(HH_hh_gas_kWh,HH_rest_gas_kWh)/1000)*0.902</f>
        <v>18053.338006292372</v>
      </c>
      <c r="E5" s="17">
        <f>B46*B57</f>
        <v>2631.6788479964503</v>
      </c>
      <c r="F5" s="17">
        <f>B51*B62</f>
        <v>26787.913965074997</v>
      </c>
      <c r="G5" s="18"/>
      <c r="H5" s="17"/>
      <c r="I5" s="17"/>
      <c r="J5" s="17">
        <f>B50*B61+C50*C61</f>
        <v>378.6558383194988</v>
      </c>
      <c r="K5" s="17"/>
      <c r="L5" s="17"/>
      <c r="M5" s="17"/>
      <c r="N5" s="17">
        <f>B48*B59+C48*C59</f>
        <v>8409.8782355916865</v>
      </c>
      <c r="O5" s="17">
        <f>B69*B70*B71</f>
        <v>45.336666666666673</v>
      </c>
      <c r="P5" s="17">
        <f>B77*B78*B79/1000-B77*B78*B79/1000/B80</f>
        <v>228.8</v>
      </c>
    </row>
    <row r="6" spans="1:16">
      <c r="A6" s="16" t="s">
        <v>633</v>
      </c>
      <c r="B6" s="830">
        <f>kWh_PV_kleiner_dan_10kW</f>
        <v>871.91517020637582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14830.818744514076</v>
      </c>
      <c r="C8" s="21">
        <f>C5</f>
        <v>0</v>
      </c>
      <c r="D8" s="21">
        <f>D5</f>
        <v>18053.338006292372</v>
      </c>
      <c r="E8" s="21">
        <f>E5</f>
        <v>2631.6788479964503</v>
      </c>
      <c r="F8" s="21">
        <f>F5</f>
        <v>26787.913965074997</v>
      </c>
      <c r="G8" s="21"/>
      <c r="H8" s="21"/>
      <c r="I8" s="21"/>
      <c r="J8" s="21">
        <f>J5</f>
        <v>378.6558383194988</v>
      </c>
      <c r="K8" s="21"/>
      <c r="L8" s="21">
        <f>L5</f>
        <v>0</v>
      </c>
      <c r="M8" s="21">
        <f>M5</f>
        <v>0</v>
      </c>
      <c r="N8" s="21">
        <f>N5</f>
        <v>8409.8782355916865</v>
      </c>
      <c r="O8" s="21">
        <f>O5</f>
        <v>45.336666666666673</v>
      </c>
      <c r="P8" s="21">
        <f>P5</f>
        <v>228.8</v>
      </c>
    </row>
    <row r="9" spans="1:16">
      <c r="B9" s="19"/>
      <c r="C9" s="19"/>
      <c r="D9" s="260"/>
      <c r="E9" s="19"/>
      <c r="F9" s="19"/>
      <c r="G9" s="19"/>
      <c r="H9" s="19"/>
      <c r="I9" s="19"/>
      <c r="J9" s="19"/>
      <c r="K9" s="19"/>
      <c r="L9" s="19"/>
      <c r="M9" s="19"/>
      <c r="N9" s="19"/>
      <c r="O9" s="19"/>
      <c r="P9" s="19"/>
    </row>
    <row r="10" spans="1:16">
      <c r="A10" s="24" t="s">
        <v>215</v>
      </c>
      <c r="B10" s="25">
        <f ca="1">'EF ele_warmte'!B12</f>
        <v>0.21808955048106499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3234.4465932572275</v>
      </c>
      <c r="C12" s="23">
        <f ca="1">C10*C8</f>
        <v>0</v>
      </c>
      <c r="D12" s="23">
        <f>D8*D10</f>
        <v>3646.7742772710594</v>
      </c>
      <c r="E12" s="23">
        <f>E10*E8</f>
        <v>597.39109849519423</v>
      </c>
      <c r="F12" s="23">
        <f>F10*F8</f>
        <v>7152.3730286750242</v>
      </c>
      <c r="G12" s="23"/>
      <c r="H12" s="23"/>
      <c r="I12" s="23"/>
      <c r="J12" s="23">
        <f>J10*J8</f>
        <v>134.04416676510257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645</v>
      </c>
      <c r="C18" s="167" t="s">
        <v>111</v>
      </c>
      <c r="D18" s="229"/>
      <c r="E18" s="15"/>
    </row>
    <row r="19" spans="1:7">
      <c r="A19" s="172" t="s">
        <v>72</v>
      </c>
      <c r="B19" s="37">
        <f>aantalw2001_ander</f>
        <v>1</v>
      </c>
      <c r="C19" s="167" t="s">
        <v>111</v>
      </c>
      <c r="D19" s="230"/>
      <c r="E19" s="15"/>
    </row>
    <row r="20" spans="1:7">
      <c r="A20" s="172" t="s">
        <v>73</v>
      </c>
      <c r="B20" s="37">
        <f>aantalw2001_propaan</f>
        <v>67</v>
      </c>
      <c r="C20" s="168">
        <f>IF(ISERROR(B20/SUM($B$20,$B$21,$B$22)*100),0,B20/SUM($B$20,$B$21,$B$22)*100)</f>
        <v>16.834170854271356</v>
      </c>
      <c r="D20" s="230"/>
      <c r="E20" s="15"/>
    </row>
    <row r="21" spans="1:7">
      <c r="A21" s="172" t="s">
        <v>74</v>
      </c>
      <c r="B21" s="37">
        <f>aantalw2001_elektriciteit</f>
        <v>257</v>
      </c>
      <c r="C21" s="168">
        <f>IF(ISERROR(B21/SUM($B$20,$B$21,$B$22)*100),0,B21/SUM($B$20,$B$21,$B$22)*100)</f>
        <v>64.572864321608037</v>
      </c>
      <c r="D21" s="230"/>
      <c r="E21" s="15"/>
    </row>
    <row r="22" spans="1:7">
      <c r="A22" s="172" t="s">
        <v>75</v>
      </c>
      <c r="B22" s="37">
        <f>aantalw2001_hout</f>
        <v>74</v>
      </c>
      <c r="C22" s="168">
        <f>IF(ISERROR(B22/SUM($B$20,$B$21,$B$22)*100),0,B22/SUM($B$20,$B$21,$B$22)*100)</f>
        <v>18.592964824120603</v>
      </c>
      <c r="D22" s="230"/>
      <c r="E22" s="15"/>
    </row>
    <row r="23" spans="1:7">
      <c r="A23" s="172" t="s">
        <v>76</v>
      </c>
      <c r="B23" s="37">
        <f>aantalw2001_niet_gespec</f>
        <v>67</v>
      </c>
      <c r="C23" s="167" t="s">
        <v>111</v>
      </c>
      <c r="D23" s="229"/>
      <c r="E23" s="15"/>
    </row>
    <row r="24" spans="1:7">
      <c r="A24" s="172" t="s">
        <v>77</v>
      </c>
      <c r="B24" s="37">
        <f>aantalw2001_steenkool</f>
        <v>73</v>
      </c>
      <c r="C24" s="167" t="s">
        <v>111</v>
      </c>
      <c r="D24" s="230"/>
      <c r="E24" s="15"/>
    </row>
    <row r="25" spans="1:7">
      <c r="A25" s="172" t="s">
        <v>78</v>
      </c>
      <c r="B25" s="37">
        <f>aantalw2001_stookolie</f>
        <v>1713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3203</v>
      </c>
      <c r="C28" s="36"/>
      <c r="D28" s="229"/>
    </row>
    <row r="29" spans="1:7" s="15" customFormat="1">
      <c r="A29" s="231" t="s">
        <v>714</v>
      </c>
      <c r="B29" s="37">
        <f>SUM(HH_hh_gas_aantal,HH_rest_gas_aantal)</f>
        <v>1243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1243</v>
      </c>
      <c r="C32" s="168">
        <f>IF(ISERROR(B32/SUM($B$32,$B$34,$B$35,$B$36,$B$38,$B$39)*100),0,B32/SUM($B$32,$B$34,$B$35,$B$36,$B$38,$B$39)*100)</f>
        <v>38.953306173613292</v>
      </c>
      <c r="D32" s="234"/>
      <c r="G32" s="15"/>
    </row>
    <row r="33" spans="1:7">
      <c r="A33" s="172" t="s">
        <v>72</v>
      </c>
      <c r="B33" s="34" t="s">
        <v>111</v>
      </c>
      <c r="C33" s="168"/>
      <c r="D33" s="234"/>
      <c r="G33" s="15"/>
    </row>
    <row r="34" spans="1:7">
      <c r="A34" s="172" t="s">
        <v>73</v>
      </c>
      <c r="B34" s="33">
        <f>IF((($B$28-$B$32-$B$39-$B$77-$B$38)*C20/100)&lt;0,0,($B$28-$B$32-$B$39-$B$77-$B$38)*C20/100)</f>
        <v>127.9396984924623</v>
      </c>
      <c r="C34" s="168">
        <f>IF(ISERROR(B34/SUM($B$32,$B$34,$B$35,$B$36,$B$38,$B$39)*100),0,B34/SUM($B$32,$B$34,$B$35,$B$36,$B$38,$B$39)*100)</f>
        <v>4.009391992869392</v>
      </c>
      <c r="D34" s="234"/>
      <c r="G34" s="15"/>
    </row>
    <row r="35" spans="1:7">
      <c r="A35" s="172" t="s">
        <v>74</v>
      </c>
      <c r="B35" s="33">
        <f>IF((($B$28-$B$32-$B$39-$B$77-$B$38)*C21/100)&lt;0,0,($B$28-$B$32-$B$39-$B$77-$B$38)*C21/100)</f>
        <v>490.75376884422104</v>
      </c>
      <c r="C35" s="168">
        <f>IF(ISERROR(B35/SUM($B$32,$B$34,$B$35,$B$36,$B$38,$B$39)*100),0,B35/SUM($B$32,$B$34,$B$35,$B$36,$B$38,$B$39)*100)</f>
        <v>15.379309584588563</v>
      </c>
      <c r="D35" s="234"/>
      <c r="G35" s="15"/>
    </row>
    <row r="36" spans="1:7">
      <c r="A36" s="172" t="s">
        <v>75</v>
      </c>
      <c r="B36" s="33">
        <f>IF((($B$28-$B$32-$B$39-$B$77-$B$38)*C22/100)&lt;0,0,($B$28-$B$32-$B$39-$B$77-$B$38)*C22/100)</f>
        <v>141.30653266331657</v>
      </c>
      <c r="C36" s="168">
        <f>IF(ISERROR(B36/SUM($B$32,$B$34,$B$35,$B$36,$B$38,$B$39)*100),0,B36/SUM($B$32,$B$34,$B$35,$B$36,$B$38,$B$39)*100)</f>
        <v>4.4282836936169403</v>
      </c>
      <c r="D36" s="234"/>
      <c r="G36" s="15"/>
    </row>
    <row r="37" spans="1:7">
      <c r="A37" s="172" t="s">
        <v>76</v>
      </c>
      <c r="B37" s="34" t="s">
        <v>111</v>
      </c>
      <c r="C37" s="168"/>
      <c r="D37" s="174"/>
      <c r="G37" s="15"/>
    </row>
    <row r="38" spans="1:7">
      <c r="A38" s="172" t="s">
        <v>77</v>
      </c>
      <c r="B38" s="33">
        <f>IF((B24-(B29-B18)*0.1)&lt;0,0,B24-(B29-B18)*0.1)</f>
        <v>13.199999999999996</v>
      </c>
      <c r="C38" s="168">
        <f>IF(ISERROR(B38/SUM($B$32,$B$34,$B$35,$B$36,$B$38,$B$39)*100),0,B38/SUM($B$32,$B$34,$B$35,$B$36,$B$38,$B$39)*100)</f>
        <v>0.41366342839235332</v>
      </c>
      <c r="D38" s="235"/>
      <c r="G38" s="15"/>
    </row>
    <row r="39" spans="1:7">
      <c r="A39" s="172" t="s">
        <v>78</v>
      </c>
      <c r="B39" s="33">
        <f>IF((B25-(B29-B18))&lt;0,0,B25-(B29-B18)*0.9)</f>
        <v>1174.8</v>
      </c>
      <c r="C39" s="168">
        <f>IF(ISERROR(B39/SUM($B$32,$B$34,$B$35,$B$36,$B$38,$B$39)*100),0,B39/SUM($B$32,$B$34,$B$35,$B$36,$B$38,$B$39)*100)</f>
        <v>36.816045126919462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1243</v>
      </c>
      <c r="C44" s="34" t="s">
        <v>111</v>
      </c>
      <c r="D44" s="175"/>
    </row>
    <row r="45" spans="1:7">
      <c r="A45" s="172" t="s">
        <v>72</v>
      </c>
      <c r="B45" s="33" t="str">
        <f t="shared" si="0"/>
        <v>-</v>
      </c>
      <c r="C45" s="34" t="s">
        <v>111</v>
      </c>
      <c r="D45" s="175"/>
    </row>
    <row r="46" spans="1:7">
      <c r="A46" s="172" t="s">
        <v>73</v>
      </c>
      <c r="B46" s="33">
        <f t="shared" si="0"/>
        <v>127.9396984924623</v>
      </c>
      <c r="C46" s="34" t="s">
        <v>111</v>
      </c>
      <c r="D46" s="175"/>
    </row>
    <row r="47" spans="1:7">
      <c r="A47" s="172" t="s">
        <v>74</v>
      </c>
      <c r="B47" s="33">
        <f t="shared" si="0"/>
        <v>490.75376884422104</v>
      </c>
      <c r="C47" s="34" t="s">
        <v>111</v>
      </c>
      <c r="D47" s="175"/>
    </row>
    <row r="48" spans="1:7">
      <c r="A48" s="172" t="s">
        <v>75</v>
      </c>
      <c r="B48" s="33">
        <f t="shared" si="0"/>
        <v>141.30653266331657</v>
      </c>
      <c r="C48" s="33">
        <f>B48*10</f>
        <v>1413.0653266331658</v>
      </c>
      <c r="D48" s="235"/>
    </row>
    <row r="49" spans="1:6">
      <c r="A49" s="172" t="s">
        <v>76</v>
      </c>
      <c r="B49" s="33" t="str">
        <f t="shared" si="0"/>
        <v>-</v>
      </c>
      <c r="C49" s="34" t="s">
        <v>111</v>
      </c>
      <c r="D49" s="235"/>
    </row>
    <row r="50" spans="1:6">
      <c r="A50" s="172" t="s">
        <v>77</v>
      </c>
      <c r="B50" s="33">
        <f t="shared" si="0"/>
        <v>13.199999999999996</v>
      </c>
      <c r="C50" s="33">
        <f>B50*2</f>
        <v>26.399999999999991</v>
      </c>
      <c r="D50" s="235"/>
    </row>
    <row r="51" spans="1:6">
      <c r="A51" s="172" t="s">
        <v>78</v>
      </c>
      <c r="B51" s="33">
        <f t="shared" si="0"/>
        <v>1174.8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7012.8899340764037</v>
      </c>
      <c r="C5" s="17">
        <f>IF(ISERROR('Eigen informatie GS &amp; warmtenet'!B58),0,'Eigen informatie GS &amp; warmtenet'!B58)</f>
        <v>0</v>
      </c>
      <c r="D5" s="30">
        <f>SUM(D6:D12)</f>
        <v>4308.4660970706627</v>
      </c>
      <c r="E5" s="17">
        <f>SUM(E6:E12)</f>
        <v>135.95402007293541</v>
      </c>
      <c r="F5" s="17">
        <f>SUM(F6:F12)</f>
        <v>1308.9459367104812</v>
      </c>
      <c r="G5" s="18"/>
      <c r="H5" s="17"/>
      <c r="I5" s="17"/>
      <c r="J5" s="17">
        <f>SUM(J6:J12)</f>
        <v>0</v>
      </c>
      <c r="K5" s="17"/>
      <c r="L5" s="17"/>
      <c r="M5" s="17"/>
      <c r="N5" s="17">
        <f>SUM(N6:N12)</f>
        <v>226.44856939518144</v>
      </c>
      <c r="O5" s="17">
        <f>B38*B39*B40</f>
        <v>1.5633333333333335</v>
      </c>
      <c r="P5" s="17">
        <f>B46*B47*B48/1000-B46*B47*B48/1000/B49</f>
        <v>0</v>
      </c>
      <c r="R5" s="32"/>
    </row>
    <row r="6" spans="1:18">
      <c r="A6" s="32" t="s">
        <v>54</v>
      </c>
      <c r="B6" s="37">
        <f>B26</f>
        <v>765.786698921636</v>
      </c>
      <c r="C6" s="33"/>
      <c r="D6" s="37">
        <f>IF(ISERROR(TER_kantoor_gas_kWh/1000),0,TER_kantoor_gas_kWh/1000)*0.902</f>
        <v>1148.5547285774264</v>
      </c>
      <c r="E6" s="33">
        <f>$C$26*'E Balans VL '!I12/100/3.6*1000000</f>
        <v>26.80554687310746</v>
      </c>
      <c r="F6" s="33">
        <f>$C$26*('E Balans VL '!L12+'E Balans VL '!N12)/100/3.6*1000000</f>
        <v>116.1097048358361</v>
      </c>
      <c r="G6" s="34"/>
      <c r="H6" s="33"/>
      <c r="I6" s="33"/>
      <c r="J6" s="33">
        <f>$C$26*('E Balans VL '!D12+'E Balans VL '!E12)/100/3.6*1000000</f>
        <v>0</v>
      </c>
      <c r="K6" s="33"/>
      <c r="L6" s="33"/>
      <c r="M6" s="33"/>
      <c r="N6" s="33">
        <f>$C$26*'E Balans VL '!Y12/100/3.6*1000000</f>
        <v>5.9192914980239015</v>
      </c>
      <c r="O6" s="33"/>
      <c r="P6" s="33"/>
      <c r="R6" s="32"/>
    </row>
    <row r="7" spans="1:18">
      <c r="A7" s="32" t="s">
        <v>53</v>
      </c>
      <c r="B7" s="37">
        <f t="shared" ref="B7:B12" si="0">B27</f>
        <v>462.72320477646701</v>
      </c>
      <c r="C7" s="33"/>
      <c r="D7" s="37">
        <f>IF(ISERROR(TER_horeca_gas_kWh/1000),0,TER_horeca_gas_kWh/1000)*0.902</f>
        <v>379.17250663100168</v>
      </c>
      <c r="E7" s="33">
        <f>$C$27*'E Balans VL '!I9/100/3.6*1000000</f>
        <v>26.103741469575009</v>
      </c>
      <c r="F7" s="33">
        <f>$C$27*('E Balans VL '!L9+'E Balans VL '!N9)/100/3.6*1000000</f>
        <v>80.608943015154182</v>
      </c>
      <c r="G7" s="34"/>
      <c r="H7" s="33"/>
      <c r="I7" s="33"/>
      <c r="J7" s="33">
        <f>$C$27*('E Balans VL '!D9+'E Balans VL '!E9)/100/3.6*1000000</f>
        <v>0</v>
      </c>
      <c r="K7" s="33"/>
      <c r="L7" s="33"/>
      <c r="M7" s="33"/>
      <c r="N7" s="33">
        <f>$C$27*'E Balans VL '!Y9/100/3.6*1000000</f>
        <v>0</v>
      </c>
      <c r="O7" s="33"/>
      <c r="P7" s="33"/>
      <c r="R7" s="32"/>
    </row>
    <row r="8" spans="1:18">
      <c r="A8" s="6" t="s">
        <v>52</v>
      </c>
      <c r="B8" s="37">
        <f t="shared" si="0"/>
        <v>1951.51403083067</v>
      </c>
      <c r="C8" s="33"/>
      <c r="D8" s="37">
        <f>IF(ISERROR(TER_handel_gas_kWh/1000),0,TER_handel_gas_kWh/1000)*0.902</f>
        <v>502.61412733699689</v>
      </c>
      <c r="E8" s="33">
        <f>$C$28*'E Balans VL '!I13/100/3.6*1000000</f>
        <v>10.018874763334725</v>
      </c>
      <c r="F8" s="33">
        <f>$C$28*('E Balans VL '!L13+'E Balans VL '!N13)/100/3.6*1000000</f>
        <v>300.89330956687104</v>
      </c>
      <c r="G8" s="34"/>
      <c r="H8" s="33"/>
      <c r="I8" s="33"/>
      <c r="J8" s="33">
        <f>$C$28*('E Balans VL '!D13+'E Balans VL '!E13)/100/3.6*1000000</f>
        <v>0</v>
      </c>
      <c r="K8" s="33"/>
      <c r="L8" s="33"/>
      <c r="M8" s="33"/>
      <c r="N8" s="33">
        <f>$C$28*'E Balans VL '!Y13/100/3.6*1000000</f>
        <v>0.91274693365470505</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552.91968792150601</v>
      </c>
      <c r="C10" s="33"/>
      <c r="D10" s="37">
        <f>IF(ISERROR(TER_ander_gas_kWh/1000),0,TER_ander_gas_kWh/1000)*0.902</f>
        <v>230.98597114030687</v>
      </c>
      <c r="E10" s="33">
        <f>$C$30*'E Balans VL '!I14/100/3.6*1000000</f>
        <v>3.3706120595896758</v>
      </c>
      <c r="F10" s="33">
        <f>$C$30*('E Balans VL '!L14+'E Balans VL '!N14)/100/3.6*1000000</f>
        <v>146.5865834085437</v>
      </c>
      <c r="G10" s="34"/>
      <c r="H10" s="33"/>
      <c r="I10" s="33"/>
      <c r="J10" s="33">
        <f>$C$30*('E Balans VL '!D14+'E Balans VL '!E14)/100/3.6*1000000</f>
        <v>0</v>
      </c>
      <c r="K10" s="33"/>
      <c r="L10" s="33"/>
      <c r="M10" s="33"/>
      <c r="N10" s="33">
        <f>$C$30*'E Balans VL '!Y14/100/3.6*1000000</f>
        <v>127.43604035085339</v>
      </c>
      <c r="O10" s="33"/>
      <c r="P10" s="33"/>
      <c r="R10" s="32"/>
    </row>
    <row r="11" spans="1:18">
      <c r="A11" s="32" t="s">
        <v>55</v>
      </c>
      <c r="B11" s="37">
        <f t="shared" si="0"/>
        <v>33.354587924344401</v>
      </c>
      <c r="C11" s="33"/>
      <c r="D11" s="37">
        <f>IF(ISERROR(TER_onderwijs_gas_kWh/1000),0,TER_onderwijs_gas_kWh/1000)*0.902</f>
        <v>138.1260863154736</v>
      </c>
      <c r="E11" s="33">
        <f>$C$31*'E Balans VL '!I11/100/3.6*1000000</f>
        <v>2.5417932790091701E-2</v>
      </c>
      <c r="F11" s="33">
        <f>$C$31*('E Balans VL '!L11+'E Balans VL '!N11)/100/3.6*1000000</f>
        <v>24.137207729529116</v>
      </c>
      <c r="G11" s="34"/>
      <c r="H11" s="33"/>
      <c r="I11" s="33"/>
      <c r="J11" s="33">
        <f>$C$31*('E Balans VL '!D11+'E Balans VL '!E11)/100/3.6*1000000</f>
        <v>0</v>
      </c>
      <c r="K11" s="33"/>
      <c r="L11" s="33"/>
      <c r="M11" s="33"/>
      <c r="N11" s="33">
        <f>$C$31*'E Balans VL '!Y11/100/3.6*1000000</f>
        <v>9.8303942214298598E-2</v>
      </c>
      <c r="O11" s="33"/>
      <c r="P11" s="33"/>
      <c r="R11" s="32"/>
    </row>
    <row r="12" spans="1:18">
      <c r="A12" s="32" t="s">
        <v>261</v>
      </c>
      <c r="B12" s="37">
        <f t="shared" si="0"/>
        <v>3246.5917237017802</v>
      </c>
      <c r="C12" s="33"/>
      <c r="D12" s="37">
        <f>IF(ISERROR(TER_rest_gas_kWh/1000),0,TER_rest_gas_kWh/1000)*0.902</f>
        <v>1909.0126770694578</v>
      </c>
      <c r="E12" s="33">
        <f>$C$32*'E Balans VL '!I8/100/3.6*1000000</f>
        <v>69.629826974538432</v>
      </c>
      <c r="F12" s="33">
        <f>$C$32*('E Balans VL '!L8+'E Balans VL '!N8)/100/3.6*1000000</f>
        <v>640.61018815454702</v>
      </c>
      <c r="G12" s="34"/>
      <c r="H12" s="33"/>
      <c r="I12" s="33"/>
      <c r="J12" s="33">
        <f>$C$32*('E Balans VL '!D8+'E Balans VL '!E8)/100/3.6*1000000</f>
        <v>0</v>
      </c>
      <c r="K12" s="33"/>
      <c r="L12" s="33"/>
      <c r="M12" s="33"/>
      <c r="N12" s="33">
        <f>$C$32*'E Balans VL '!Y8/100/3.6*1000000</f>
        <v>92.082186670435149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7012.8899340764037</v>
      </c>
      <c r="C16" s="21">
        <f ca="1">C5+C13+C14</f>
        <v>0</v>
      </c>
      <c r="D16" s="21">
        <f t="shared" ref="D16:N16" ca="1" si="1">MAX((D5+D13+D14),0)</f>
        <v>4308.4660970706627</v>
      </c>
      <c r="E16" s="21">
        <f t="shared" si="1"/>
        <v>135.95402007293541</v>
      </c>
      <c r="F16" s="21">
        <f t="shared" ca="1" si="1"/>
        <v>1308.9459367104812</v>
      </c>
      <c r="G16" s="21">
        <f t="shared" si="1"/>
        <v>0</v>
      </c>
      <c r="H16" s="21">
        <f t="shared" si="1"/>
        <v>0</v>
      </c>
      <c r="I16" s="21">
        <f t="shared" si="1"/>
        <v>0</v>
      </c>
      <c r="J16" s="21">
        <f t="shared" si="1"/>
        <v>0</v>
      </c>
      <c r="K16" s="21">
        <f t="shared" si="1"/>
        <v>0</v>
      </c>
      <c r="L16" s="21">
        <f t="shared" ca="1" si="1"/>
        <v>0</v>
      </c>
      <c r="M16" s="21">
        <f t="shared" si="1"/>
        <v>0</v>
      </c>
      <c r="N16" s="21">
        <f t="shared" ca="1" si="1"/>
        <v>226.44856939518144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0.21808955048106499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1529.4380132959084</v>
      </c>
      <c r="C20" s="23">
        <f t="shared" ref="C20:P20" ca="1" si="2">C16*C18</f>
        <v>0</v>
      </c>
      <c r="D20" s="23">
        <f t="shared" ca="1" si="2"/>
        <v>870.31015160827394</v>
      </c>
      <c r="E20" s="23">
        <f t="shared" si="2"/>
        <v>30.86156255655634</v>
      </c>
      <c r="F20" s="23">
        <f t="shared" ca="1" si="2"/>
        <v>349.4885651016985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765.786698921636</v>
      </c>
      <c r="C26" s="39">
        <f>IF(ISERROR(B26*3.6/1000000/'E Balans VL '!Z12*100),0,B26*3.6/1000000/'E Balans VL '!Z12*100)</f>
        <v>1.6114711117158748E-2</v>
      </c>
      <c r="D26" s="238" t="s">
        <v>720</v>
      </c>
      <c r="F26" s="6"/>
    </row>
    <row r="27" spans="1:18">
      <c r="A27" s="232" t="s">
        <v>53</v>
      </c>
      <c r="B27" s="33">
        <f>IF(ISERROR(TER_horeca_ele_kWh/1000),0,TER_horeca_ele_kWh/1000)</f>
        <v>462.72320477646701</v>
      </c>
      <c r="C27" s="39">
        <f>IF(ISERROR(B27*3.6/1000000/'E Balans VL '!Z9*100),0,B27*3.6/1000000/'E Balans VL '!Z9*100)</f>
        <v>3.9177473508259085E-2</v>
      </c>
      <c r="D27" s="238" t="s">
        <v>720</v>
      </c>
      <c r="F27" s="6"/>
    </row>
    <row r="28" spans="1:18">
      <c r="A28" s="172" t="s">
        <v>52</v>
      </c>
      <c r="B28" s="33">
        <f>IF(ISERROR(TER_handel_ele_kWh/1000),0,TER_handel_ele_kWh/1000)</f>
        <v>1951.51403083067</v>
      </c>
      <c r="C28" s="39">
        <f>IF(ISERROR(B28*3.6/1000000/'E Balans VL '!Z13*100),0,B28*3.6/1000000/'E Balans VL '!Z13*100)</f>
        <v>5.402739609004923E-2</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552.91968792150601</v>
      </c>
      <c r="C30" s="39">
        <f>IF(ISERROR(B30*3.6/1000000/'E Balans VL '!Z14*100),0,B30*3.6/1000000/'E Balans VL '!Z14*100)</f>
        <v>4.2856346474807905E-2</v>
      </c>
      <c r="D30" s="238" t="s">
        <v>720</v>
      </c>
      <c r="F30" s="6"/>
    </row>
    <row r="31" spans="1:18">
      <c r="A31" s="232" t="s">
        <v>55</v>
      </c>
      <c r="B31" s="33">
        <f>IF(ISERROR(TER_onderwijs_ele_kWh/1000),0,TER_onderwijs_ele_kWh/1000)</f>
        <v>33.354587924344401</v>
      </c>
      <c r="C31" s="39">
        <f>IF(ISERROR(B31*3.6/1000000/'E Balans VL '!Z11*100),0,B31*3.6/1000000/'E Balans VL '!Z11*100)</f>
        <v>6.3813010200778064E-3</v>
      </c>
      <c r="D31" s="238" t="s">
        <v>720</v>
      </c>
    </row>
    <row r="32" spans="1:18">
      <c r="A32" s="232" t="s">
        <v>261</v>
      </c>
      <c r="B32" s="33">
        <f>IF(ISERROR(TER_rest_ele_kWh/1000),0,TER_rest_ele_kWh/1000)</f>
        <v>3246.5917237017802</v>
      </c>
      <c r="C32" s="39">
        <f>IF(ISERROR(B32*3.6/1000000/'E Balans VL '!Z8*100),0,B32*3.6/1000000/'E Balans VL '!Z8*100)</f>
        <v>2.6770641870233303E-2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23239.173538102583</v>
      </c>
      <c r="C5" s="17">
        <f>IF(ISERROR('Eigen informatie GS &amp; warmtenet'!B59),0,'Eigen informatie GS &amp; warmtenet'!B59)</f>
        <v>0</v>
      </c>
      <c r="D5" s="30">
        <f>SUM(D6:D15)</f>
        <v>1452.515362705796</v>
      </c>
      <c r="E5" s="17">
        <f>SUM(E6:E15)</f>
        <v>212.36639355508106</v>
      </c>
      <c r="F5" s="17">
        <f>SUM(F6:F15)</f>
        <v>5298.6822263759695</v>
      </c>
      <c r="G5" s="18"/>
      <c r="H5" s="17"/>
      <c r="I5" s="17"/>
      <c r="J5" s="17">
        <f>SUM(J6:J15)</f>
        <v>134.84084634380534</v>
      </c>
      <c r="K5" s="17"/>
      <c r="L5" s="17"/>
      <c r="M5" s="17"/>
      <c r="N5" s="17">
        <f>SUM(N6:N15)</f>
        <v>490.2701822992077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149.59034910755199</v>
      </c>
      <c r="C8" s="33"/>
      <c r="D8" s="37">
        <f>IF( ISERROR(IND_metaal_Gas_kWH/1000),0,IND_metaal_Gas_kWH/1000)*0.902</f>
        <v>0</v>
      </c>
      <c r="E8" s="33">
        <f>C30*'E Balans VL '!I18/100/3.6*1000000</f>
        <v>1.0511383775653802</v>
      </c>
      <c r="F8" s="33">
        <f>C30*'E Balans VL '!L18/100/3.6*1000000+C30*'E Balans VL '!N18/100/3.6*1000000</f>
        <v>16.424145142323283</v>
      </c>
      <c r="G8" s="34"/>
      <c r="H8" s="33"/>
      <c r="I8" s="33"/>
      <c r="J8" s="40">
        <f>C30*'E Balans VL '!D18/100/3.6*1000000+C30*'E Balans VL '!E18/100/3.6*1000000</f>
        <v>3.0863713278964946</v>
      </c>
      <c r="K8" s="33"/>
      <c r="L8" s="33"/>
      <c r="M8" s="33"/>
      <c r="N8" s="33">
        <f>C30*'E Balans VL '!Y18/100/3.6*1000000</f>
        <v>0.56067540194049159</v>
      </c>
      <c r="O8" s="33"/>
      <c r="P8" s="33"/>
      <c r="R8" s="32"/>
    </row>
    <row r="9" spans="1:18">
      <c r="A9" s="6" t="s">
        <v>33</v>
      </c>
      <c r="B9" s="37">
        <f t="shared" si="0"/>
        <v>1690.22644729435</v>
      </c>
      <c r="C9" s="33"/>
      <c r="D9" s="37">
        <f>IF( ISERROR(IND_andere_gas_kWh/1000),0,IND_andere_gas_kWh/1000)*0.902</f>
        <v>415.38641450790266</v>
      </c>
      <c r="E9" s="33">
        <f>C31*'E Balans VL '!I19/100/3.6*1000000</f>
        <v>28.389423775816915</v>
      </c>
      <c r="F9" s="33">
        <f>C31*'E Balans VL '!L19/100/3.6*1000000+C31*'E Balans VL '!N19/100/3.6*1000000</f>
        <v>1321.3227683843916</v>
      </c>
      <c r="G9" s="34"/>
      <c r="H9" s="33"/>
      <c r="I9" s="33"/>
      <c r="J9" s="40">
        <f>C31*'E Balans VL '!D19/100/3.6*1000000+C31*'E Balans VL '!E19/100/3.6*1000000</f>
        <v>0.15244350526650879</v>
      </c>
      <c r="K9" s="33"/>
      <c r="L9" s="33"/>
      <c r="M9" s="33"/>
      <c r="N9" s="33">
        <f>C31*'E Balans VL '!Y19/100/3.6*1000000</f>
        <v>125.27289704052555</v>
      </c>
      <c r="O9" s="33"/>
      <c r="P9" s="33"/>
      <c r="R9" s="32"/>
    </row>
    <row r="10" spans="1:18">
      <c r="A10" s="6" t="s">
        <v>41</v>
      </c>
      <c r="B10" s="37">
        <f t="shared" si="0"/>
        <v>490.15116925643298</v>
      </c>
      <c r="C10" s="33"/>
      <c r="D10" s="37">
        <f>IF( ISERROR(IND_voed_gas_kWh/1000),0,IND_voed_gas_kWh/1000)*0.902</f>
        <v>489.57215730868614</v>
      </c>
      <c r="E10" s="33">
        <f>C32*'E Balans VL '!I20/100/3.6*1000000</f>
        <v>4.4719355859871026</v>
      </c>
      <c r="F10" s="33">
        <f>C32*'E Balans VL '!L20/100/3.6*1000000+C32*'E Balans VL '!N20/100/3.6*1000000</f>
        <v>79.07671463243382</v>
      </c>
      <c r="G10" s="34"/>
      <c r="H10" s="33"/>
      <c r="I10" s="33"/>
      <c r="J10" s="40">
        <f>C32*'E Balans VL '!D20/100/3.6*1000000+C32*'E Balans VL '!E20/100/3.6*1000000</f>
        <v>2.0187638736599478</v>
      </c>
      <c r="K10" s="33"/>
      <c r="L10" s="33"/>
      <c r="M10" s="33"/>
      <c r="N10" s="33">
        <f>C32*'E Balans VL '!Y20/100/3.6*1000000</f>
        <v>7.1705251111772608</v>
      </c>
      <c r="O10" s="33"/>
      <c r="P10" s="33"/>
      <c r="R10" s="32"/>
    </row>
    <row r="11" spans="1:18">
      <c r="A11" s="6" t="s">
        <v>40</v>
      </c>
      <c r="B11" s="37">
        <f t="shared" si="0"/>
        <v>1348.8312898812301</v>
      </c>
      <c r="C11" s="33"/>
      <c r="D11" s="37">
        <f>IF( ISERROR(IND_textiel_gas_kWh/1000),0,IND_textiel_gas_kWh/1000)*0.902</f>
        <v>0</v>
      </c>
      <c r="E11" s="33">
        <f>C33*'E Balans VL '!I21/100/3.6*1000000</f>
        <v>3.0764339747120659</v>
      </c>
      <c r="F11" s="33">
        <f>C33*'E Balans VL '!L21/100/3.6*1000000+C33*'E Balans VL '!N21/100/3.6*1000000</f>
        <v>28.832519856596569</v>
      </c>
      <c r="G11" s="34"/>
      <c r="H11" s="33"/>
      <c r="I11" s="33"/>
      <c r="J11" s="40">
        <f>C33*'E Balans VL '!D21/100/3.6*1000000+C33*'E Balans VL '!E21/100/3.6*1000000</f>
        <v>0</v>
      </c>
      <c r="K11" s="33"/>
      <c r="L11" s="33"/>
      <c r="M11" s="33"/>
      <c r="N11" s="33">
        <f>C33*'E Balans VL '!Y21/100/3.6*1000000</f>
        <v>9.5684272002007251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22.889260155021699</v>
      </c>
      <c r="C13" s="33"/>
      <c r="D13" s="37">
        <f>IF( ISERROR(IND_papier_gas_kWh/1000),0,IND_papier_gas_kWh/1000)*0.902</f>
        <v>32.03975377285937</v>
      </c>
      <c r="E13" s="33">
        <f>C35*'E Balans VL '!I23/100/3.6*1000000</f>
        <v>0.70424279932121947</v>
      </c>
      <c r="F13" s="33">
        <f>C35*'E Balans VL '!L23/100/3.6*1000000+C35*'E Balans VL '!N23/100/3.6*1000000</f>
        <v>4.8601898632916098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292.49926385149695</v>
      </c>
      <c r="C14" s="33"/>
      <c r="D14" s="37">
        <f>IF( ISERROR(IND_chemie_gas_kWh/1000),0,IND_chemie_gas_kWh/1000)*0.902</f>
        <v>0</v>
      </c>
      <c r="E14" s="33">
        <f>C36*'E Balans VL '!I24/100/3.6*1000000</f>
        <v>0.99177396820778263</v>
      </c>
      <c r="F14" s="33">
        <f>C36*'E Balans VL '!L24/100/3.6*1000000+C36*'E Balans VL '!N24/100/3.6*1000000</f>
        <v>0.9387010062021669</v>
      </c>
      <c r="G14" s="34"/>
      <c r="H14" s="33"/>
      <c r="I14" s="33"/>
      <c r="J14" s="40">
        <f>C36*'E Balans VL '!D24/100/3.6*1000000+C36*'E Balans VL '!E24/100/3.6*1000000</f>
        <v>0</v>
      </c>
      <c r="K14" s="33"/>
      <c r="L14" s="33"/>
      <c r="M14" s="33"/>
      <c r="N14" s="33">
        <f>C36*'E Balans VL '!Y24/100/3.6*1000000</f>
        <v>1.3676472890586915</v>
      </c>
      <c r="O14" s="33"/>
      <c r="P14" s="33"/>
      <c r="R14" s="32"/>
    </row>
    <row r="15" spans="1:18">
      <c r="A15" s="6" t="s">
        <v>271</v>
      </c>
      <c r="B15" s="37">
        <f t="shared" si="0"/>
        <v>19244.985758556501</v>
      </c>
      <c r="C15" s="33"/>
      <c r="D15" s="37">
        <f>IF( ISERROR(IND_rest_gas_kWh/1000),0,IND_rest_gas_kWh/1000)*0.902</f>
        <v>515.51703711634775</v>
      </c>
      <c r="E15" s="33">
        <f>C37*'E Balans VL '!I15/100/3.6*1000000</f>
        <v>173.6814450734706</v>
      </c>
      <c r="F15" s="33">
        <f>C37*'E Balans VL '!L15/100/3.6*1000000+C37*'E Balans VL '!N15/100/3.6*1000000</f>
        <v>3847.227187490731</v>
      </c>
      <c r="G15" s="34"/>
      <c r="H15" s="33"/>
      <c r="I15" s="33"/>
      <c r="J15" s="40">
        <f>C37*'E Balans VL '!D15/100/3.6*1000000+C37*'E Balans VL '!E15/100/3.6*1000000</f>
        <v>129.58326763698238</v>
      </c>
      <c r="K15" s="33"/>
      <c r="L15" s="33"/>
      <c r="M15" s="33"/>
      <c r="N15" s="33">
        <f>C37*'E Balans VL '!Y15/100/3.6*1000000</f>
        <v>346.330010256305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23239.173538102583</v>
      </c>
      <c r="C18" s="21">
        <f>C5+C16</f>
        <v>0</v>
      </c>
      <c r="D18" s="21">
        <f>MAX((D5+D16),0)</f>
        <v>1452.515362705796</v>
      </c>
      <c r="E18" s="21">
        <f>MAX((E5+E16),0)</f>
        <v>212.36639355508106</v>
      </c>
      <c r="F18" s="21">
        <f>MAX((F5+F16),0)</f>
        <v>5298.6822263759695</v>
      </c>
      <c r="G18" s="21"/>
      <c r="H18" s="21"/>
      <c r="I18" s="21"/>
      <c r="J18" s="21">
        <f>MAX((J5+J16),0)</f>
        <v>134.84084634380534</v>
      </c>
      <c r="K18" s="21"/>
      <c r="L18" s="21">
        <f>MAX((L5+L16),0)</f>
        <v>0</v>
      </c>
      <c r="M18" s="21"/>
      <c r="N18" s="21">
        <f>MAX((N5+N16),0)</f>
        <v>490.2701822992077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0.21808955048106499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5068.2209104762533</v>
      </c>
      <c r="C22" s="23">
        <f ca="1">C18*C20</f>
        <v>0</v>
      </c>
      <c r="D22" s="23">
        <f>D18*D20</f>
        <v>293.40810326657078</v>
      </c>
      <c r="E22" s="23">
        <f>E18*E20</f>
        <v>48.207171337003402</v>
      </c>
      <c r="F22" s="23">
        <f>F18*F20</f>
        <v>1414.748154442384</v>
      </c>
      <c r="G22" s="23"/>
      <c r="H22" s="23"/>
      <c r="I22" s="23"/>
      <c r="J22" s="23">
        <f>J18*J20</f>
        <v>47.733659605707089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149.59034910755199</v>
      </c>
      <c r="C30" s="39">
        <f>IF(ISERROR(B30*3.6/1000000/'E Balans VL '!Z18*100),0,B30*3.6/1000000/'E Balans VL '!Z18*100)</f>
        <v>9.9583208876116592E-3</v>
      </c>
      <c r="D30" s="238" t="s">
        <v>720</v>
      </c>
    </row>
    <row r="31" spans="1:18">
      <c r="A31" s="6" t="s">
        <v>33</v>
      </c>
      <c r="B31" s="37">
        <f>IF( ISERROR(IND_ander_ele_kWh/1000),0,IND_ander_ele_kWh/1000)</f>
        <v>1690.22644729435</v>
      </c>
      <c r="C31" s="39">
        <f>IF(ISERROR(B31*3.6/1000000/'E Balans VL '!Z19*100),0,B31*3.6/1000000/'E Balans VL '!Z19*100)</f>
        <v>7.4921040130980429E-2</v>
      </c>
      <c r="D31" s="238" t="s">
        <v>720</v>
      </c>
    </row>
    <row r="32" spans="1:18">
      <c r="A32" s="172" t="s">
        <v>41</v>
      </c>
      <c r="B32" s="37">
        <f>IF( ISERROR(IND_voed_ele_kWh/1000),0,IND_voed_ele_kWh/1000)</f>
        <v>490.15116925643298</v>
      </c>
      <c r="C32" s="39">
        <f>IF(ISERROR(B32*3.6/1000000/'E Balans VL '!Z20*100),0,B32*3.6/1000000/'E Balans VL '!Z20*100)</f>
        <v>1.6372455114889509E-2</v>
      </c>
      <c r="D32" s="238" t="s">
        <v>720</v>
      </c>
    </row>
    <row r="33" spans="1:5">
      <c r="A33" s="172" t="s">
        <v>40</v>
      </c>
      <c r="B33" s="37">
        <f>IF( ISERROR(IND_textiel_ele_kWh/1000),0,IND_textiel_ele_kWh/1000)</f>
        <v>1348.8312898812301</v>
      </c>
      <c r="C33" s="39">
        <f>IF(ISERROR(B33*3.6/1000000/'E Balans VL '!Z21*100),0,B33*3.6/1000000/'E Balans VL '!Z21*100)</f>
        <v>0.17757674977174251</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22.889260155021699</v>
      </c>
      <c r="C35" s="39">
        <f>IF(ISERROR(B35*3.6/1000000/'E Balans VL '!Z22*100),0,B35*3.6/1000000/'E Balans VL '!Z22*100)</f>
        <v>4.4517096759207351E-3</v>
      </c>
      <c r="D35" s="238" t="s">
        <v>720</v>
      </c>
    </row>
    <row r="36" spans="1:5">
      <c r="A36" s="172" t="s">
        <v>34</v>
      </c>
      <c r="B36" s="37">
        <f>IF( ISERROR(IND_chemie_ele_kWh/1000),0,IND_chemie_ele_kWh/1000)</f>
        <v>292.49926385149695</v>
      </c>
      <c r="C36" s="39">
        <f>IF(ISERROR(B36*3.6/1000000/'E Balans VL '!Z24*100),0,B36*3.6/1000000/'E Balans VL '!Z24*100)</f>
        <v>6.8686705322806938E-3</v>
      </c>
      <c r="D36" s="238" t="s">
        <v>720</v>
      </c>
    </row>
    <row r="37" spans="1:5">
      <c r="A37" s="172" t="s">
        <v>271</v>
      </c>
      <c r="B37" s="37">
        <f>IF( ISERROR(IND_rest_ele_kWh/1000),0,IND_rest_ele_kWh/1000)</f>
        <v>19244.985758556501</v>
      </c>
      <c r="C37" s="39">
        <f>IF(ISERROR(B37*3.6/1000000/'E Balans VL '!Z15*100),0,B37*3.6/1000000/'E Balans VL '!Z15*100)</f>
        <v>0.14315134127996795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3541.9704188226642</v>
      </c>
      <c r="C5" s="17">
        <f>'Eigen informatie GS &amp; warmtenet'!B60</f>
        <v>0</v>
      </c>
      <c r="D5" s="30">
        <f>IF(ISERROR(SUM(LB_lb_gas_kWh,LB_rest_gas_kWh,onbekend_gas_kWh)/1000),0,SUM(LB_lb_gas_kWh,LB_rest_gas_kWh,onbekend_gas_kWh)/1000)*0.902</f>
        <v>12979.601399765497</v>
      </c>
      <c r="E5" s="17">
        <f>B17*'E Balans VL '!I25/3.6*1000000/100</f>
        <v>37.092281031236475</v>
      </c>
      <c r="F5" s="17">
        <f>B17*('E Balans VL '!L25/3.6*1000000+'E Balans VL '!N25/3.6*1000000)/100</f>
        <v>18192.124038718655</v>
      </c>
      <c r="G5" s="18"/>
      <c r="H5" s="17"/>
      <c r="I5" s="17"/>
      <c r="J5" s="17">
        <f>('E Balans VL '!D25+'E Balans VL '!E25)/3.6*1000000*landbouw!B17/100</f>
        <v>316.32970562332468</v>
      </c>
      <c r="K5" s="17"/>
      <c r="L5" s="17">
        <f>L6*(-1)</f>
        <v>0</v>
      </c>
      <c r="M5" s="17"/>
      <c r="N5" s="17">
        <f>N6*(-1)</f>
        <v>0</v>
      </c>
      <c r="O5" s="17"/>
      <c r="P5" s="17"/>
      <c r="R5" s="32"/>
    </row>
    <row r="6" spans="1:18">
      <c r="A6" s="16" t="s">
        <v>497</v>
      </c>
      <c r="B6" s="17" t="s">
        <v>212</v>
      </c>
      <c r="C6" s="17">
        <f>'lokale energieproductie'!O91+'lokale energieproductie'!O60</f>
        <v>7637.1428571428569</v>
      </c>
      <c r="D6" s="311">
        <f>('lokale energieproductie'!P60+'lokale energieproductie'!P91)*(-1)</f>
        <v>-15274.285714285716</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3541.9704188226642</v>
      </c>
      <c r="C8" s="21">
        <f>C5+C6</f>
        <v>7637.1428571428569</v>
      </c>
      <c r="D8" s="21">
        <f>MAX((D5+D6),0)</f>
        <v>0</v>
      </c>
      <c r="E8" s="21">
        <f>MAX((E5+E6),0)</f>
        <v>37.092281031236475</v>
      </c>
      <c r="F8" s="21">
        <f>MAX((F5+F6),0)</f>
        <v>18192.124038718655</v>
      </c>
      <c r="G8" s="21"/>
      <c r="H8" s="21"/>
      <c r="I8" s="21"/>
      <c r="J8" s="21">
        <f>MAX((J5+J6),0)</f>
        <v>316.32970562332468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0.21808955048106499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772.46673645826434</v>
      </c>
      <c r="C12" s="23">
        <f ca="1">C8*C10</f>
        <v>1814.9445378151263</v>
      </c>
      <c r="D12" s="23">
        <f>D8*D10</f>
        <v>0</v>
      </c>
      <c r="E12" s="23">
        <f>E8*E10</f>
        <v>8.4199477940906799</v>
      </c>
      <c r="F12" s="23">
        <f>F8*F10</f>
        <v>4857.2971183378813</v>
      </c>
      <c r="G12" s="23"/>
      <c r="H12" s="23"/>
      <c r="I12" s="23"/>
      <c r="J12" s="23">
        <f>J8*J10</f>
        <v>111.98071579065693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0.54517762012105286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394.44059359780789</v>
      </c>
      <c r="C26" s="248">
        <f>B26*'GWP N2O_CH4'!B5</f>
        <v>8283.2524655539655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252.87342195613428</v>
      </c>
      <c r="C27" s="248">
        <f>B27*'GWP N2O_CH4'!B5</f>
        <v>5310.3418610788194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5.8323219727409548</v>
      </c>
      <c r="C28" s="248">
        <f>B28*'GWP N2O_CH4'!B4</f>
        <v>1808.019811549696</v>
      </c>
      <c r="D28" s="50"/>
    </row>
    <row r="29" spans="1:4">
      <c r="A29" s="41" t="s">
        <v>278</v>
      </c>
      <c r="B29" s="248">
        <f>B34*'ha_N2O bodem landbouw'!B4</f>
        <v>15.942794512213254</v>
      </c>
      <c r="C29" s="248">
        <f>B29*'GWP N2O_CH4'!B4</f>
        <v>4942.2662987861086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2.6347561809714698E-3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8.8116943050499987E-7</v>
      </c>
      <c r="C5" s="446" t="s">
        <v>212</v>
      </c>
      <c r="D5" s="431">
        <f>SUM(D6:D11)</f>
        <v>4.7182336147862458E-6</v>
      </c>
      <c r="E5" s="431">
        <f>SUM(E6:E11)</f>
        <v>4.7211157307793054E-4</v>
      </c>
      <c r="F5" s="444" t="s">
        <v>212</v>
      </c>
      <c r="G5" s="431">
        <f>SUM(G6:G11)</f>
        <v>0.10196979175246781</v>
      </c>
      <c r="H5" s="431">
        <f>SUM(H6:H11)</f>
        <v>1.5594291177339497E-2</v>
      </c>
      <c r="I5" s="446" t="s">
        <v>212</v>
      </c>
      <c r="J5" s="446" t="s">
        <v>212</v>
      </c>
      <c r="K5" s="446" t="s">
        <v>212</v>
      </c>
      <c r="L5" s="446" t="s">
        <v>212</v>
      </c>
      <c r="M5" s="431">
        <f>SUM(M6:M11)</f>
        <v>5.1247607052115896E-3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6.1250774630162748E-7</v>
      </c>
      <c r="C6" s="432"/>
      <c r="D6" s="432">
        <f>vkm_2011_GW_PW*SUMIFS(TableVerdeelsleutelVkm[CNG],TableVerdeelsleutelVkm[Voertuigtype],"Lichte voertuigen")*SUMIFS(TableECFTransport[EnergieConsumptieFactor (PJ per km)],TableECFTransport[Index],CONCATENATE($A6,"_CNG_CNG"))</f>
        <v>2.6404496964844957E-6</v>
      </c>
      <c r="E6" s="434">
        <f>vkm_2011_GW_PW*SUMIFS(TableVerdeelsleutelVkm[LPG],TableVerdeelsleutelVkm[Voertuigtype],"Lichte voertuigen")*SUMIFS(TableECFTransport[EnergieConsumptieFactor (PJ per km)],TableECFTransport[Index],CONCATENATE($A6,"_LPG_LPG"))</f>
        <v>2.7472258945991228E-4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3.3791632693693709E-2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8.896636623566977E-3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1.8708046168883087E-3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3.2309623894387983E-2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1.1078522298014572E-5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1.3957152145002731E-3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2.6866168420337239E-7</v>
      </c>
      <c r="C8" s="432"/>
      <c r="D8" s="434">
        <f>vkm_2011_NGW_PW*SUMIFS(TableVerdeelsleutelVkm[CNG],TableVerdeelsleutelVkm[Voertuigtype],"Lichte voertuigen")*SUMIFS(TableECFTransport[EnergieConsumptieFactor (PJ per km)],TableECFTransport[Index],CONCATENATE($A8,"_CNG_CNG"))</f>
        <v>2.0777839183017506E-6</v>
      </c>
      <c r="E8" s="434">
        <f>vkm_2011_NGW_PW*SUMIFS(TableVerdeelsleutelVkm[LPG],TableVerdeelsleutelVkm[Voertuigtype],"Lichte voertuigen")*SUMIFS(TableECFTransport[EnergieConsumptieFactor (PJ per km)],TableECFTransport[Index],CONCATENATE($A8,"_LPG_LPG"))</f>
        <v>1.9738898361801825E-4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2.3028445617566607E-2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6.6827513061215125E-3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1.3035998032006183E-3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1.2840089546819516E-2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3.8247253529917744E-6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5.5464107062238948E-4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0.24476928625138886</v>
      </c>
      <c r="C14" s="21"/>
      <c r="D14" s="21">
        <f t="shared" ref="D14:M14" si="0">((D5)*10^9/3600)+D12</f>
        <v>1.310620448551735</v>
      </c>
      <c r="E14" s="21">
        <f t="shared" si="0"/>
        <v>131.14210363275848</v>
      </c>
      <c r="F14" s="21"/>
      <c r="G14" s="21">
        <f t="shared" si="0"/>
        <v>28324.942153463282</v>
      </c>
      <c r="H14" s="21">
        <f t="shared" si="0"/>
        <v>4331.747549260971</v>
      </c>
      <c r="I14" s="21"/>
      <c r="J14" s="21"/>
      <c r="K14" s="21"/>
      <c r="L14" s="21"/>
      <c r="M14" s="21">
        <f t="shared" si="0"/>
        <v>1423.5446403365524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0.21808955048106499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5.3381623610136514E-2</v>
      </c>
      <c r="C18" s="23"/>
      <c r="D18" s="23">
        <f t="shared" ref="D18:M18" si="1">D14*D16</f>
        <v>0.26474533060745048</v>
      </c>
      <c r="E18" s="23">
        <f t="shared" si="1"/>
        <v>29.769257524636174</v>
      </c>
      <c r="F18" s="23"/>
      <c r="G18" s="23">
        <f t="shared" si="1"/>
        <v>7562.7595549746966</v>
      </c>
      <c r="H18" s="23">
        <f t="shared" si="1"/>
        <v>1078.6051397659817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5.9324894004806152E-4</v>
      </c>
      <c r="H50" s="322">
        <f t="shared" si="2"/>
        <v>0</v>
      </c>
      <c r="I50" s="322">
        <f t="shared" si="2"/>
        <v>0</v>
      </c>
      <c r="J50" s="322">
        <f t="shared" si="2"/>
        <v>0</v>
      </c>
      <c r="K50" s="322">
        <f t="shared" si="2"/>
        <v>0</v>
      </c>
      <c r="L50" s="322">
        <f t="shared" si="2"/>
        <v>0</v>
      </c>
      <c r="M50" s="322">
        <f t="shared" si="2"/>
        <v>2.5287624958130548E-5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5.9324894004806152E-4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2.5287624958130548E-5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164.79137223557265</v>
      </c>
      <c r="H54" s="21">
        <f t="shared" si="3"/>
        <v>0</v>
      </c>
      <c r="I54" s="21">
        <f t="shared" si="3"/>
        <v>0</v>
      </c>
      <c r="J54" s="21">
        <f t="shared" si="3"/>
        <v>0</v>
      </c>
      <c r="K54" s="21">
        <f t="shared" si="3"/>
        <v>0</v>
      </c>
      <c r="L54" s="21">
        <f t="shared" si="3"/>
        <v>0</v>
      </c>
      <c r="M54" s="21">
        <f t="shared" si="3"/>
        <v>7.0243402661473748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0.21808955048106499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43.999296386897903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1051.0164574280041</v>
      </c>
      <c r="C6" s="1124"/>
      <c r="D6" s="1127"/>
      <c r="E6" s="1127"/>
      <c r="F6" s="1130"/>
      <c r="G6" s="1133"/>
      <c r="H6" s="1121"/>
      <c r="I6" s="1127"/>
      <c r="J6" s="1127"/>
      <c r="K6" s="1127"/>
      <c r="L6" s="1157"/>
      <c r="M6" s="559"/>
      <c r="N6" s="1169"/>
      <c r="O6" s="1170"/>
      <c r="Q6" s="557"/>
      <c r="R6" s="1154"/>
      <c r="S6" s="1154"/>
    </row>
    <row r="7" spans="1:19" s="547" customFormat="1">
      <c r="A7" s="560" t="s">
        <v>253</v>
      </c>
      <c r="B7" s="561">
        <f>N57</f>
        <v>5346</v>
      </c>
      <c r="C7" s="562">
        <f>B100</f>
        <v>6289.4117647058838</v>
      </c>
      <c r="D7" s="563"/>
      <c r="E7" s="563">
        <f>E100</f>
        <v>0</v>
      </c>
      <c r="F7" s="564"/>
      <c r="G7" s="565"/>
      <c r="H7" s="563">
        <f>I100</f>
        <v>0</v>
      </c>
      <c r="I7" s="563">
        <f>G100+F100</f>
        <v>0</v>
      </c>
      <c r="J7" s="563">
        <f>H100+D100+C100</f>
        <v>0</v>
      </c>
      <c r="K7" s="563"/>
      <c r="L7" s="566"/>
      <c r="M7" s="567">
        <f>C7*$C$11+D7*$D$11+E7*$E$11+F7*$F$11+G7*$G$11+H7*$H$11+I7*$I$11+J7*$J$11</f>
        <v>1270.4611764705885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6397.0164574280043</v>
      </c>
      <c r="C9" s="578">
        <f t="shared" ref="C9:L9" si="0">SUM(C7:C8)</f>
        <v>6289.4117647058838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1270.4611764705885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7637.1428571428569</v>
      </c>
      <c r="C16" s="594">
        <f>B101</f>
        <v>8984.8739495798327</v>
      </c>
      <c r="D16" s="595"/>
      <c r="E16" s="595">
        <f>E101</f>
        <v>0</v>
      </c>
      <c r="F16" s="596"/>
      <c r="G16" s="597"/>
      <c r="H16" s="594">
        <f>I101</f>
        <v>0</v>
      </c>
      <c r="I16" s="595">
        <f>G101+F101</f>
        <v>0</v>
      </c>
      <c r="J16" s="595">
        <f>H101+D101+C101</f>
        <v>0</v>
      </c>
      <c r="K16" s="595"/>
      <c r="L16" s="598"/>
      <c r="M16" s="599">
        <f>C16*$C$21+E16*$E$21+H16*$H$21+I16*$I$21+J16*$J$21+D16*$D$21+F16*$F$21+G16*$G$21+K16*$K$21+L16*$L$21</f>
        <v>1814.9445378151263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7637.1428571428569</v>
      </c>
      <c r="C19" s="577">
        <f>SUM(C16:C18)</f>
        <v>8984.8739495798327</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1814.9445378151263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37002</v>
      </c>
      <c r="C27" s="839">
        <v>8720</v>
      </c>
      <c r="D27" s="656" t="s">
        <v>894</v>
      </c>
      <c r="E27" s="655" t="s">
        <v>895</v>
      </c>
      <c r="F27" s="655" t="s">
        <v>896</v>
      </c>
      <c r="G27" s="655" t="s">
        <v>897</v>
      </c>
      <c r="H27" s="655" t="s">
        <v>898</v>
      </c>
      <c r="I27" s="655" t="s">
        <v>899</v>
      </c>
      <c r="J27" s="838">
        <v>37987</v>
      </c>
      <c r="K27" s="838">
        <v>38777</v>
      </c>
      <c r="L27" s="655" t="s">
        <v>900</v>
      </c>
      <c r="M27" s="655">
        <v>182</v>
      </c>
      <c r="N27" s="655">
        <v>819</v>
      </c>
      <c r="O27" s="655">
        <v>1170</v>
      </c>
      <c r="P27" s="655">
        <v>2340</v>
      </c>
      <c r="Q27" s="655">
        <v>0</v>
      </c>
      <c r="R27" s="655">
        <v>0</v>
      </c>
      <c r="S27" s="655">
        <v>0</v>
      </c>
      <c r="T27" s="655">
        <v>0</v>
      </c>
      <c r="U27" s="655">
        <v>0</v>
      </c>
      <c r="V27" s="655">
        <v>0</v>
      </c>
      <c r="W27" s="655">
        <v>0</v>
      </c>
      <c r="X27" s="655">
        <v>10</v>
      </c>
      <c r="Y27" s="655" t="s">
        <v>112</v>
      </c>
      <c r="Z27" s="657" t="s">
        <v>112</v>
      </c>
    </row>
    <row r="28" spans="1:26" s="609" customFormat="1" ht="25.5">
      <c r="A28" s="608"/>
      <c r="B28" s="839">
        <v>37002</v>
      </c>
      <c r="C28" s="839">
        <v>8720</v>
      </c>
      <c r="D28" s="656" t="s">
        <v>901</v>
      </c>
      <c r="E28" s="655" t="s">
        <v>902</v>
      </c>
      <c r="F28" s="655" t="s">
        <v>903</v>
      </c>
      <c r="G28" s="655" t="s">
        <v>897</v>
      </c>
      <c r="H28" s="655" t="s">
        <v>898</v>
      </c>
      <c r="I28" s="655" t="s">
        <v>904</v>
      </c>
      <c r="J28" s="838">
        <v>39827</v>
      </c>
      <c r="K28" s="838">
        <v>39827</v>
      </c>
      <c r="L28" s="655" t="s">
        <v>900</v>
      </c>
      <c r="M28" s="655">
        <v>1006</v>
      </c>
      <c r="N28" s="655">
        <v>4527</v>
      </c>
      <c r="O28" s="655">
        <v>6467.1428571428569</v>
      </c>
      <c r="P28" s="655">
        <v>12934.285714285716</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1188</v>
      </c>
      <c r="N57" s="613">
        <f>SUM(N27:N56)</f>
        <v>5346</v>
      </c>
      <c r="O57" s="613">
        <f t="shared" ref="O57:W57" si="2">SUM(O27:O56)</f>
        <v>7637.1428571428569</v>
      </c>
      <c r="P57" s="613">
        <f t="shared" si="2"/>
        <v>15274.285714285716</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1188</v>
      </c>
      <c r="N60" s="618">
        <f t="shared" ref="N60:W60" si="4">SUMIF($Z$27:$Z$56,"landbouw",N27:N56)</f>
        <v>5346</v>
      </c>
      <c r="O60" s="618">
        <f t="shared" si="4"/>
        <v>7637.1428571428569</v>
      </c>
      <c r="P60" s="618">
        <f t="shared" si="4"/>
        <v>15274.285714285716</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6289.4117647058838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8984.8739495798327</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7617.1159340764034</v>
      </c>
      <c r="D10" s="702">
        <f ca="1">tertiair!C16</f>
        <v>0</v>
      </c>
      <c r="E10" s="702">
        <f ca="1">tertiair!D16</f>
        <v>4308.4660970706627</v>
      </c>
      <c r="F10" s="702">
        <f>tertiair!E16</f>
        <v>135.95402007293541</v>
      </c>
      <c r="G10" s="702">
        <f ca="1">tertiair!F16</f>
        <v>1308.9459367104812</v>
      </c>
      <c r="H10" s="702">
        <f>tertiair!G16</f>
        <v>0</v>
      </c>
      <c r="I10" s="702">
        <f>tertiair!H16</f>
        <v>0</v>
      </c>
      <c r="J10" s="702">
        <f>tertiair!I16</f>
        <v>0</v>
      </c>
      <c r="K10" s="702">
        <f>tertiair!J16</f>
        <v>0</v>
      </c>
      <c r="L10" s="702">
        <f>tertiair!K16</f>
        <v>0</v>
      </c>
      <c r="M10" s="702">
        <f ca="1">tertiair!L16</f>
        <v>0</v>
      </c>
      <c r="N10" s="702">
        <f>tertiair!M16</f>
        <v>0</v>
      </c>
      <c r="O10" s="702">
        <f ca="1">tertiair!N16</f>
        <v>226.44856939518144</v>
      </c>
      <c r="P10" s="702">
        <f>tertiair!O16</f>
        <v>1.5633333333333335</v>
      </c>
      <c r="Q10" s="703">
        <f>tertiair!P16</f>
        <v>0</v>
      </c>
      <c r="R10" s="705">
        <f ca="1">SUM(C10:Q10)</f>
        <v>13598.493890658998</v>
      </c>
      <c r="S10" s="67"/>
    </row>
    <row r="11" spans="1:19" s="457" customFormat="1">
      <c r="A11" s="858" t="s">
        <v>226</v>
      </c>
      <c r="B11" s="863"/>
      <c r="C11" s="702">
        <f>huishoudens!B8</f>
        <v>14830.818744514076</v>
      </c>
      <c r="D11" s="702">
        <f>huishoudens!C8</f>
        <v>0</v>
      </c>
      <c r="E11" s="702">
        <f>huishoudens!D8</f>
        <v>18053.338006292372</v>
      </c>
      <c r="F11" s="702">
        <f>huishoudens!E8</f>
        <v>2631.6788479964503</v>
      </c>
      <c r="G11" s="702">
        <f>huishoudens!F8</f>
        <v>26787.913965074997</v>
      </c>
      <c r="H11" s="702">
        <f>huishoudens!G8</f>
        <v>0</v>
      </c>
      <c r="I11" s="702">
        <f>huishoudens!H8</f>
        <v>0</v>
      </c>
      <c r="J11" s="702">
        <f>huishoudens!I8</f>
        <v>0</v>
      </c>
      <c r="K11" s="702">
        <f>huishoudens!J8</f>
        <v>378.6558383194988</v>
      </c>
      <c r="L11" s="702">
        <f>huishoudens!K8</f>
        <v>0</v>
      </c>
      <c r="M11" s="702">
        <f>huishoudens!L8</f>
        <v>0</v>
      </c>
      <c r="N11" s="702">
        <f>huishoudens!M8</f>
        <v>0</v>
      </c>
      <c r="O11" s="702">
        <f>huishoudens!N8</f>
        <v>8409.8782355916865</v>
      </c>
      <c r="P11" s="702">
        <f>huishoudens!O8</f>
        <v>45.336666666666673</v>
      </c>
      <c r="Q11" s="703">
        <f>huishoudens!P8</f>
        <v>228.8</v>
      </c>
      <c r="R11" s="705">
        <f>SUM(C11:Q11)</f>
        <v>71366.420304455751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23239.173538102583</v>
      </c>
      <c r="D13" s="702">
        <f>industrie!C18</f>
        <v>0</v>
      </c>
      <c r="E13" s="702">
        <f>industrie!D18</f>
        <v>1452.515362705796</v>
      </c>
      <c r="F13" s="702">
        <f>industrie!E18</f>
        <v>212.36639355508106</v>
      </c>
      <c r="G13" s="702">
        <f>industrie!F18</f>
        <v>5298.6822263759695</v>
      </c>
      <c r="H13" s="702">
        <f>industrie!G18</f>
        <v>0</v>
      </c>
      <c r="I13" s="702">
        <f>industrie!H18</f>
        <v>0</v>
      </c>
      <c r="J13" s="702">
        <f>industrie!I18</f>
        <v>0</v>
      </c>
      <c r="K13" s="702">
        <f>industrie!J18</f>
        <v>134.84084634380534</v>
      </c>
      <c r="L13" s="702">
        <f>industrie!K18</f>
        <v>0</v>
      </c>
      <c r="M13" s="702">
        <f>industrie!L18</f>
        <v>0</v>
      </c>
      <c r="N13" s="702">
        <f>industrie!M18</f>
        <v>0</v>
      </c>
      <c r="O13" s="702">
        <f>industrie!N18</f>
        <v>490.2701822992077</v>
      </c>
      <c r="P13" s="702">
        <f>industrie!O18</f>
        <v>0</v>
      </c>
      <c r="Q13" s="703">
        <f>industrie!P18</f>
        <v>0</v>
      </c>
      <c r="R13" s="705">
        <f>SUM(C13:Q13)</f>
        <v>30827.848549382445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45687.108216693057</v>
      </c>
      <c r="D15" s="707">
        <f t="shared" ref="D15:Q15" ca="1" si="0">SUM(D9:D14)</f>
        <v>0</v>
      </c>
      <c r="E15" s="707">
        <f t="shared" ca="1" si="0"/>
        <v>23814.319466068831</v>
      </c>
      <c r="F15" s="707">
        <f t="shared" si="0"/>
        <v>2979.9992616244667</v>
      </c>
      <c r="G15" s="707">
        <f t="shared" ca="1" si="0"/>
        <v>33395.542128161447</v>
      </c>
      <c r="H15" s="707">
        <f t="shared" si="0"/>
        <v>0</v>
      </c>
      <c r="I15" s="707">
        <f t="shared" si="0"/>
        <v>0</v>
      </c>
      <c r="J15" s="707">
        <f t="shared" si="0"/>
        <v>0</v>
      </c>
      <c r="K15" s="707">
        <f t="shared" si="0"/>
        <v>513.49668466330411</v>
      </c>
      <c r="L15" s="707">
        <f t="shared" si="0"/>
        <v>0</v>
      </c>
      <c r="M15" s="707">
        <f t="shared" ca="1" si="0"/>
        <v>0</v>
      </c>
      <c r="N15" s="707">
        <f t="shared" si="0"/>
        <v>0</v>
      </c>
      <c r="O15" s="707">
        <f t="shared" ca="1" si="0"/>
        <v>9126.5969872860751</v>
      </c>
      <c r="P15" s="707">
        <f t="shared" si="0"/>
        <v>46.900000000000006</v>
      </c>
      <c r="Q15" s="708">
        <f t="shared" si="0"/>
        <v>228.8</v>
      </c>
      <c r="R15" s="709">
        <f ca="1">SUM(R9:R14)</f>
        <v>115792.76274449719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164.79137223557265</v>
      </c>
      <c r="I18" s="702">
        <f>transport!H54</f>
        <v>0</v>
      </c>
      <c r="J18" s="702">
        <f>transport!I54</f>
        <v>0</v>
      </c>
      <c r="K18" s="702">
        <f>transport!J54</f>
        <v>0</v>
      </c>
      <c r="L18" s="702">
        <f>transport!K54</f>
        <v>0</v>
      </c>
      <c r="M18" s="702">
        <f>transport!L54</f>
        <v>0</v>
      </c>
      <c r="N18" s="702">
        <f>transport!M54</f>
        <v>7.0243402661473748</v>
      </c>
      <c r="O18" s="702">
        <f>transport!N54</f>
        <v>0</v>
      </c>
      <c r="P18" s="702">
        <f>transport!O54</f>
        <v>0</v>
      </c>
      <c r="Q18" s="703">
        <f>transport!P54</f>
        <v>0</v>
      </c>
      <c r="R18" s="705">
        <f>SUM(C18:Q18)</f>
        <v>171.81571250172001</v>
      </c>
      <c r="S18" s="67"/>
    </row>
    <row r="19" spans="1:19" s="457" customFormat="1" ht="15" thickBot="1">
      <c r="A19" s="858" t="s">
        <v>308</v>
      </c>
      <c r="B19" s="863"/>
      <c r="C19" s="711">
        <f>transport!B14</f>
        <v>0.24476928625138886</v>
      </c>
      <c r="D19" s="711">
        <f>transport!C14</f>
        <v>0</v>
      </c>
      <c r="E19" s="711">
        <f>transport!D14</f>
        <v>1.310620448551735</v>
      </c>
      <c r="F19" s="711">
        <f>transport!E14</f>
        <v>131.14210363275848</v>
      </c>
      <c r="G19" s="711">
        <f>transport!F14</f>
        <v>0</v>
      </c>
      <c r="H19" s="711">
        <f>transport!G14</f>
        <v>28324.942153463282</v>
      </c>
      <c r="I19" s="711">
        <f>transport!H14</f>
        <v>4331.747549260971</v>
      </c>
      <c r="J19" s="711">
        <f>transport!I14</f>
        <v>0</v>
      </c>
      <c r="K19" s="711">
        <f>transport!J14</f>
        <v>0</v>
      </c>
      <c r="L19" s="711">
        <f>transport!K14</f>
        <v>0</v>
      </c>
      <c r="M19" s="711">
        <f>transport!L14</f>
        <v>0</v>
      </c>
      <c r="N19" s="711">
        <f>transport!M14</f>
        <v>1423.5446403365524</v>
      </c>
      <c r="O19" s="711">
        <f>transport!N14</f>
        <v>0</v>
      </c>
      <c r="P19" s="711">
        <f>transport!O14</f>
        <v>0</v>
      </c>
      <c r="Q19" s="712">
        <f>transport!P14</f>
        <v>0</v>
      </c>
      <c r="R19" s="713">
        <f>SUM(C19:Q19)</f>
        <v>34212.931836428368</v>
      </c>
      <c r="S19" s="67"/>
    </row>
    <row r="20" spans="1:19" s="457" customFormat="1" ht="15.75" thickBot="1">
      <c r="A20" s="714" t="s">
        <v>231</v>
      </c>
      <c r="B20" s="866"/>
      <c r="C20" s="861">
        <f>SUM(C17:C19)</f>
        <v>0.24476928625138886</v>
      </c>
      <c r="D20" s="715">
        <f t="shared" ref="D20:R20" si="1">SUM(D17:D19)</f>
        <v>0</v>
      </c>
      <c r="E20" s="715">
        <f t="shared" si="1"/>
        <v>1.310620448551735</v>
      </c>
      <c r="F20" s="715">
        <f t="shared" si="1"/>
        <v>131.14210363275848</v>
      </c>
      <c r="G20" s="715">
        <f t="shared" si="1"/>
        <v>0</v>
      </c>
      <c r="H20" s="715">
        <f t="shared" si="1"/>
        <v>28489.733525698855</v>
      </c>
      <c r="I20" s="715">
        <f t="shared" si="1"/>
        <v>4331.747549260971</v>
      </c>
      <c r="J20" s="715">
        <f t="shared" si="1"/>
        <v>0</v>
      </c>
      <c r="K20" s="715">
        <f t="shared" si="1"/>
        <v>0</v>
      </c>
      <c r="L20" s="715">
        <f t="shared" si="1"/>
        <v>0</v>
      </c>
      <c r="M20" s="715">
        <f t="shared" si="1"/>
        <v>0</v>
      </c>
      <c r="N20" s="715">
        <f t="shared" si="1"/>
        <v>1430.5689806026999</v>
      </c>
      <c r="O20" s="715">
        <f t="shared" si="1"/>
        <v>0</v>
      </c>
      <c r="P20" s="715">
        <f t="shared" si="1"/>
        <v>0</v>
      </c>
      <c r="Q20" s="716">
        <f t="shared" si="1"/>
        <v>0</v>
      </c>
      <c r="R20" s="717">
        <f t="shared" si="1"/>
        <v>34384.747548930085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3541.9704188226642</v>
      </c>
      <c r="D22" s="711">
        <f>+landbouw!C8</f>
        <v>7637.1428571428569</v>
      </c>
      <c r="E22" s="711">
        <f>+landbouw!D8</f>
        <v>0</v>
      </c>
      <c r="F22" s="711">
        <f>+landbouw!E8</f>
        <v>37.092281031236475</v>
      </c>
      <c r="G22" s="711">
        <f>+landbouw!F8</f>
        <v>18192.124038718655</v>
      </c>
      <c r="H22" s="711">
        <f>+landbouw!G8</f>
        <v>0</v>
      </c>
      <c r="I22" s="711">
        <f>+landbouw!H8</f>
        <v>0</v>
      </c>
      <c r="J22" s="711">
        <f>+landbouw!I8</f>
        <v>0</v>
      </c>
      <c r="K22" s="711">
        <f>+landbouw!J8</f>
        <v>316.32970562332468</v>
      </c>
      <c r="L22" s="711">
        <f>+landbouw!K8</f>
        <v>0</v>
      </c>
      <c r="M22" s="711">
        <f>+landbouw!L8</f>
        <v>0</v>
      </c>
      <c r="N22" s="711">
        <f>+landbouw!M8</f>
        <v>0</v>
      </c>
      <c r="O22" s="711">
        <f>+landbouw!N8</f>
        <v>0</v>
      </c>
      <c r="P22" s="711">
        <f>+landbouw!O8</f>
        <v>0</v>
      </c>
      <c r="Q22" s="712">
        <f>+landbouw!P8</f>
        <v>0</v>
      </c>
      <c r="R22" s="713">
        <f>SUM(C22:Q22)</f>
        <v>29724.659301338736</v>
      </c>
      <c r="S22" s="67"/>
    </row>
    <row r="23" spans="1:19" s="457" customFormat="1" ht="17.25" thickTop="1" thickBot="1">
      <c r="A23" s="718" t="s">
        <v>116</v>
      </c>
      <c r="B23" s="852"/>
      <c r="C23" s="719">
        <f ca="1">C20+C15+C22</f>
        <v>49229.323404801966</v>
      </c>
      <c r="D23" s="719">
        <f t="shared" ref="D23:Q23" ca="1" si="2">D20+D15+D22</f>
        <v>7637.1428571428569</v>
      </c>
      <c r="E23" s="719">
        <f t="shared" ca="1" si="2"/>
        <v>23815.630086517383</v>
      </c>
      <c r="F23" s="719">
        <f t="shared" si="2"/>
        <v>3148.2336462884614</v>
      </c>
      <c r="G23" s="719">
        <f t="shared" ca="1" si="2"/>
        <v>51587.666166880103</v>
      </c>
      <c r="H23" s="719">
        <f t="shared" si="2"/>
        <v>28489.733525698855</v>
      </c>
      <c r="I23" s="719">
        <f t="shared" si="2"/>
        <v>4331.747549260971</v>
      </c>
      <c r="J23" s="719">
        <f t="shared" si="2"/>
        <v>0</v>
      </c>
      <c r="K23" s="719">
        <f t="shared" si="2"/>
        <v>829.82639028662879</v>
      </c>
      <c r="L23" s="719">
        <f t="shared" si="2"/>
        <v>0</v>
      </c>
      <c r="M23" s="719">
        <f t="shared" ca="1" si="2"/>
        <v>0</v>
      </c>
      <c r="N23" s="719">
        <f t="shared" si="2"/>
        <v>1430.5689806026999</v>
      </c>
      <c r="O23" s="719">
        <f t="shared" ca="1" si="2"/>
        <v>9126.5969872860751</v>
      </c>
      <c r="P23" s="719">
        <f t="shared" si="2"/>
        <v>46.900000000000006</v>
      </c>
      <c r="Q23" s="720">
        <f t="shared" si="2"/>
        <v>228.8</v>
      </c>
      <c r="R23" s="721">
        <f ca="1">R20+R15+R22</f>
        <v>179902.16959476602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1661.2133900248803</v>
      </c>
      <c r="D36" s="702">
        <f ca="1">tertiair!C20</f>
        <v>0</v>
      </c>
      <c r="E36" s="702">
        <f ca="1">tertiair!D20</f>
        <v>870.31015160827394</v>
      </c>
      <c r="F36" s="702">
        <f>tertiair!E20</f>
        <v>30.86156255655634</v>
      </c>
      <c r="G36" s="702">
        <f ca="1">tertiair!F20</f>
        <v>349.4885651016985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2911.873669291409</v>
      </c>
    </row>
    <row r="37" spans="1:18">
      <c r="A37" s="873" t="s">
        <v>226</v>
      </c>
      <c r="B37" s="880"/>
      <c r="C37" s="702">
        <f ca="1">huishoudens!B12</f>
        <v>3234.4465932572275</v>
      </c>
      <c r="D37" s="702">
        <f ca="1">huishoudens!C12</f>
        <v>0</v>
      </c>
      <c r="E37" s="702">
        <f>huishoudens!D12</f>
        <v>3646.7742772710594</v>
      </c>
      <c r="F37" s="702">
        <f>huishoudens!E12</f>
        <v>597.39109849519423</v>
      </c>
      <c r="G37" s="702">
        <f>huishoudens!F12</f>
        <v>7152.3730286750242</v>
      </c>
      <c r="H37" s="702">
        <f>huishoudens!G12</f>
        <v>0</v>
      </c>
      <c r="I37" s="702">
        <f>huishoudens!H12</f>
        <v>0</v>
      </c>
      <c r="J37" s="702">
        <f>huishoudens!I12</f>
        <v>0</v>
      </c>
      <c r="K37" s="702">
        <f>huishoudens!J12</f>
        <v>134.04416676510257</v>
      </c>
      <c r="L37" s="702">
        <f>huishoudens!K12</f>
        <v>0</v>
      </c>
      <c r="M37" s="702">
        <f>huishoudens!L12</f>
        <v>0</v>
      </c>
      <c r="N37" s="702">
        <f>huishoudens!M12</f>
        <v>0</v>
      </c>
      <c r="O37" s="702">
        <f>huishoudens!N12</f>
        <v>0</v>
      </c>
      <c r="P37" s="702">
        <f>huishoudens!O12</f>
        <v>0</v>
      </c>
      <c r="Q37" s="812">
        <f>huishoudens!P12</f>
        <v>0</v>
      </c>
      <c r="R37" s="905">
        <f ca="1">SUM(C37:Q37)</f>
        <v>14765.029164463609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5068.2209104762533</v>
      </c>
      <c r="D39" s="702">
        <f ca="1">industrie!C22</f>
        <v>0</v>
      </c>
      <c r="E39" s="702">
        <f>industrie!D22</f>
        <v>293.40810326657078</v>
      </c>
      <c r="F39" s="702">
        <f>industrie!E22</f>
        <v>48.207171337003402</v>
      </c>
      <c r="G39" s="702">
        <f>industrie!F22</f>
        <v>1414.748154442384</v>
      </c>
      <c r="H39" s="702">
        <f>industrie!G22</f>
        <v>0</v>
      </c>
      <c r="I39" s="702">
        <f>industrie!H22</f>
        <v>0</v>
      </c>
      <c r="J39" s="702">
        <f>industrie!I22</f>
        <v>0</v>
      </c>
      <c r="K39" s="702">
        <f>industrie!J22</f>
        <v>47.733659605707089</v>
      </c>
      <c r="L39" s="702">
        <f>industrie!K22</f>
        <v>0</v>
      </c>
      <c r="M39" s="702">
        <f>industrie!L22</f>
        <v>0</v>
      </c>
      <c r="N39" s="702">
        <f>industrie!M22</f>
        <v>0</v>
      </c>
      <c r="O39" s="702">
        <f>industrie!N22</f>
        <v>0</v>
      </c>
      <c r="P39" s="702">
        <f>industrie!O22</f>
        <v>0</v>
      </c>
      <c r="Q39" s="812">
        <f>industrie!P22</f>
        <v>0</v>
      </c>
      <c r="R39" s="906">
        <f ca="1">SUM(C39:Q39)</f>
        <v>6872.3179991279176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9963.8808937583599</v>
      </c>
      <c r="D41" s="747">
        <f t="shared" ref="D41:R41" ca="1" si="4">SUM(D35:D40)</f>
        <v>0</v>
      </c>
      <c r="E41" s="747">
        <f t="shared" ca="1" si="4"/>
        <v>4810.4925321459041</v>
      </c>
      <c r="F41" s="747">
        <f t="shared" si="4"/>
        <v>676.45983238875397</v>
      </c>
      <c r="G41" s="747">
        <f t="shared" ca="1" si="4"/>
        <v>8916.6097482191071</v>
      </c>
      <c r="H41" s="747">
        <f t="shared" si="4"/>
        <v>0</v>
      </c>
      <c r="I41" s="747">
        <f t="shared" si="4"/>
        <v>0</v>
      </c>
      <c r="J41" s="747">
        <f t="shared" si="4"/>
        <v>0</v>
      </c>
      <c r="K41" s="747">
        <f t="shared" si="4"/>
        <v>181.77782637080966</v>
      </c>
      <c r="L41" s="747">
        <f t="shared" si="4"/>
        <v>0</v>
      </c>
      <c r="M41" s="747">
        <f t="shared" ca="1" si="4"/>
        <v>0</v>
      </c>
      <c r="N41" s="747">
        <f t="shared" si="4"/>
        <v>0</v>
      </c>
      <c r="O41" s="747">
        <f t="shared" ca="1" si="4"/>
        <v>0</v>
      </c>
      <c r="P41" s="747">
        <f t="shared" si="4"/>
        <v>0</v>
      </c>
      <c r="Q41" s="748">
        <f t="shared" si="4"/>
        <v>0</v>
      </c>
      <c r="R41" s="749">
        <f t="shared" ca="1" si="4"/>
        <v>24549.220832882937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43.999296386897903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43.999296386897903</v>
      </c>
    </row>
    <row r="45" spans="1:18" ht="15" thickBot="1">
      <c r="A45" s="876" t="s">
        <v>308</v>
      </c>
      <c r="B45" s="886"/>
      <c r="C45" s="711">
        <f ca="1">transport!B18</f>
        <v>5.3381623610136514E-2</v>
      </c>
      <c r="D45" s="711">
        <f>transport!C18</f>
        <v>0</v>
      </c>
      <c r="E45" s="711">
        <f>transport!D18</f>
        <v>0.26474533060745048</v>
      </c>
      <c r="F45" s="711">
        <f>transport!E18</f>
        <v>29.769257524636174</v>
      </c>
      <c r="G45" s="711">
        <f>transport!F18</f>
        <v>0</v>
      </c>
      <c r="H45" s="711">
        <f>transport!G18</f>
        <v>7562.7595549746966</v>
      </c>
      <c r="I45" s="711">
        <f>transport!H18</f>
        <v>1078.6051397659817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8671.4520792195326</v>
      </c>
    </row>
    <row r="46" spans="1:18" ht="15.75" thickBot="1">
      <c r="A46" s="874" t="s">
        <v>231</v>
      </c>
      <c r="B46" s="887"/>
      <c r="C46" s="747">
        <f t="shared" ref="C46:R46" ca="1" si="5">SUM(C43:C45)</f>
        <v>5.3381623610136514E-2</v>
      </c>
      <c r="D46" s="747">
        <f t="shared" ca="1" si="5"/>
        <v>0</v>
      </c>
      <c r="E46" s="747">
        <f t="shared" si="5"/>
        <v>0.26474533060745048</v>
      </c>
      <c r="F46" s="747">
        <f t="shared" si="5"/>
        <v>29.769257524636174</v>
      </c>
      <c r="G46" s="747">
        <f t="shared" si="5"/>
        <v>0</v>
      </c>
      <c r="H46" s="747">
        <f t="shared" si="5"/>
        <v>7606.7588513615947</v>
      </c>
      <c r="I46" s="747">
        <f t="shared" si="5"/>
        <v>1078.6051397659817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8715.4513756064298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772.46673645826434</v>
      </c>
      <c r="D48" s="702">
        <f ca="1">+landbouw!C12</f>
        <v>1814.9445378151263</v>
      </c>
      <c r="E48" s="702">
        <f>+landbouw!D12</f>
        <v>0</v>
      </c>
      <c r="F48" s="702">
        <f>+landbouw!E12</f>
        <v>8.4199477940906799</v>
      </c>
      <c r="G48" s="702">
        <f>+landbouw!F12</f>
        <v>4857.2971183378813</v>
      </c>
      <c r="H48" s="702">
        <f>+landbouw!G12</f>
        <v>0</v>
      </c>
      <c r="I48" s="702">
        <f>+landbouw!H12</f>
        <v>0</v>
      </c>
      <c r="J48" s="702">
        <f>+landbouw!I12</f>
        <v>0</v>
      </c>
      <c r="K48" s="702">
        <f>+landbouw!J12</f>
        <v>111.98071579065693</v>
      </c>
      <c r="L48" s="702">
        <f>+landbouw!K12</f>
        <v>0</v>
      </c>
      <c r="M48" s="702">
        <f>+landbouw!L12</f>
        <v>0</v>
      </c>
      <c r="N48" s="702">
        <f>+landbouw!M12</f>
        <v>0</v>
      </c>
      <c r="O48" s="702">
        <f>+landbouw!N12</f>
        <v>0</v>
      </c>
      <c r="P48" s="702">
        <f>+landbouw!O12</f>
        <v>0</v>
      </c>
      <c r="Q48" s="703">
        <f>+landbouw!P12</f>
        <v>0</v>
      </c>
      <c r="R48" s="745">
        <f ca="1">SUM(C48:Q48)</f>
        <v>7565.10905619602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10736.401011840233</v>
      </c>
      <c r="D53" s="757">
        <f t="shared" ref="D53:Q53" ca="1" si="6">D41+D46+D48</f>
        <v>1814.9445378151263</v>
      </c>
      <c r="E53" s="757">
        <f t="shared" ca="1" si="6"/>
        <v>4810.7572774765113</v>
      </c>
      <c r="F53" s="757">
        <f t="shared" si="6"/>
        <v>714.64903770748083</v>
      </c>
      <c r="G53" s="757">
        <f t="shared" ca="1" si="6"/>
        <v>13773.906866556988</v>
      </c>
      <c r="H53" s="757">
        <f t="shared" si="6"/>
        <v>7606.7588513615947</v>
      </c>
      <c r="I53" s="757">
        <f t="shared" si="6"/>
        <v>1078.6051397659817</v>
      </c>
      <c r="J53" s="757">
        <f t="shared" si="6"/>
        <v>0</v>
      </c>
      <c r="K53" s="757">
        <f t="shared" si="6"/>
        <v>293.75854216146661</v>
      </c>
      <c r="L53" s="757">
        <f t="shared" si="6"/>
        <v>0</v>
      </c>
      <c r="M53" s="757">
        <f t="shared" ca="1" si="6"/>
        <v>0</v>
      </c>
      <c r="N53" s="757">
        <f t="shared" si="6"/>
        <v>0</v>
      </c>
      <c r="O53" s="757">
        <f t="shared" ca="1" si="6"/>
        <v>0</v>
      </c>
      <c r="P53" s="757">
        <f>P41+P46+P48</f>
        <v>0</v>
      </c>
      <c r="Q53" s="758">
        <f t="shared" si="6"/>
        <v>0</v>
      </c>
      <c r="R53" s="759">
        <f ca="1">R41+R46+R48</f>
        <v>40829.781264685393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0.21808955048106499</v>
      </c>
      <c r="D55" s="823">
        <f t="shared" ca="1" si="7"/>
        <v>0.23764705882352946</v>
      </c>
      <c r="E55" s="823">
        <f t="shared" ca="1" si="7"/>
        <v>0.20199999999999999</v>
      </c>
      <c r="F55" s="823">
        <f t="shared" si="7"/>
        <v>0.22700000000000004</v>
      </c>
      <c r="G55" s="823">
        <f t="shared" ca="1" si="7"/>
        <v>0.26700000000000002</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1051.0164574280041</v>
      </c>
      <c r="C66" s="779">
        <f>'lokale energieproductie'!B6</f>
        <v>1051.0164574280041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5346</v>
      </c>
      <c r="C67" s="778">
        <f>B67*IFERROR(SUM(J67:L67)/SUM(D67:M67),0)</f>
        <v>0</v>
      </c>
      <c r="D67" s="810">
        <f>'lokale energieproductie'!C7</f>
        <v>6289.4117647058838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1270.4611764705885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6397.0164574280043</v>
      </c>
      <c r="C69" s="787">
        <f>SUM(C64:C68)</f>
        <v>1051.0164574280041</v>
      </c>
      <c r="D69" s="788">
        <f t="shared" ref="D69:M69" si="8">SUM(D67:D68)</f>
        <v>6289.4117647058838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1270.4611764705885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7637.1428571428569</v>
      </c>
      <c r="C78" s="801">
        <f>B78*IFERROR(SUM(I78:L78)/SUM(D78:M78),0)</f>
        <v>0</v>
      </c>
      <c r="D78" s="816">
        <f>'lokale energieproductie'!C16</f>
        <v>8984.8739495798327</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1814.9445378151263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7637.1428571428569</v>
      </c>
      <c r="C81" s="787">
        <f>SUM(C78:C80)</f>
        <v>0</v>
      </c>
      <c r="D81" s="787">
        <f t="shared" ref="D81:P81" si="9">SUM(D78:D80)</f>
        <v>8984.8739495798327</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1814.9445378151263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14830.818744514076</v>
      </c>
      <c r="C4" s="461">
        <f>huishoudens!C8</f>
        <v>0</v>
      </c>
      <c r="D4" s="461">
        <f>huishoudens!D8</f>
        <v>18053.338006292372</v>
      </c>
      <c r="E4" s="461">
        <f>huishoudens!E8</f>
        <v>2631.6788479964503</v>
      </c>
      <c r="F4" s="461">
        <f>huishoudens!F8</f>
        <v>26787.913965074997</v>
      </c>
      <c r="G4" s="461">
        <f>huishoudens!G8</f>
        <v>0</v>
      </c>
      <c r="H4" s="461">
        <f>huishoudens!H8</f>
        <v>0</v>
      </c>
      <c r="I4" s="461">
        <f>huishoudens!I8</f>
        <v>0</v>
      </c>
      <c r="J4" s="461">
        <f>huishoudens!J8</f>
        <v>378.6558383194988</v>
      </c>
      <c r="K4" s="461">
        <f>huishoudens!K8</f>
        <v>0</v>
      </c>
      <c r="L4" s="461">
        <f>huishoudens!L8</f>
        <v>0</v>
      </c>
      <c r="M4" s="461">
        <f>huishoudens!M8</f>
        <v>0</v>
      </c>
      <c r="N4" s="461">
        <f>huishoudens!N8</f>
        <v>8409.8782355916865</v>
      </c>
      <c r="O4" s="461">
        <f>huishoudens!O8</f>
        <v>45.336666666666673</v>
      </c>
      <c r="P4" s="462">
        <f>huishoudens!P8</f>
        <v>228.8</v>
      </c>
      <c r="Q4" s="463">
        <f>SUM(B4:P4)</f>
        <v>71366.420304455751</v>
      </c>
    </row>
    <row r="5" spans="1:17">
      <c r="A5" s="460" t="s">
        <v>156</v>
      </c>
      <c r="B5" s="461">
        <f ca="1">tertiair!B16</f>
        <v>7012.8899340764037</v>
      </c>
      <c r="C5" s="461">
        <f ca="1">tertiair!C16</f>
        <v>0</v>
      </c>
      <c r="D5" s="461">
        <f ca="1">tertiair!D16</f>
        <v>4308.4660970706627</v>
      </c>
      <c r="E5" s="461">
        <f>tertiair!E16</f>
        <v>135.95402007293541</v>
      </c>
      <c r="F5" s="461">
        <f ca="1">tertiair!F16</f>
        <v>1308.9459367104812</v>
      </c>
      <c r="G5" s="461">
        <f>tertiair!G16</f>
        <v>0</v>
      </c>
      <c r="H5" s="461">
        <f>tertiair!H16</f>
        <v>0</v>
      </c>
      <c r="I5" s="461">
        <f>tertiair!I16</f>
        <v>0</v>
      </c>
      <c r="J5" s="461">
        <f>tertiair!J16</f>
        <v>0</v>
      </c>
      <c r="K5" s="461">
        <f>tertiair!K16</f>
        <v>0</v>
      </c>
      <c r="L5" s="461">
        <f ca="1">tertiair!L16</f>
        <v>0</v>
      </c>
      <c r="M5" s="461">
        <f>tertiair!M16</f>
        <v>0</v>
      </c>
      <c r="N5" s="461">
        <f ca="1">tertiair!N16</f>
        <v>226.44856939518144</v>
      </c>
      <c r="O5" s="461">
        <f>tertiair!O16</f>
        <v>1.5633333333333335</v>
      </c>
      <c r="P5" s="462">
        <f>tertiair!P16</f>
        <v>0</v>
      </c>
      <c r="Q5" s="460">
        <f t="shared" ref="Q5:Q13" ca="1" si="0">SUM(B5:P5)</f>
        <v>12994.267890658997</v>
      </c>
    </row>
    <row r="6" spans="1:17">
      <c r="A6" s="460" t="s">
        <v>195</v>
      </c>
      <c r="B6" s="461">
        <f>'openbare verlichting'!B8</f>
        <v>604.226</v>
      </c>
      <c r="C6" s="461"/>
      <c r="D6" s="461"/>
      <c r="E6" s="461"/>
      <c r="F6" s="461"/>
      <c r="G6" s="461"/>
      <c r="H6" s="461"/>
      <c r="I6" s="461"/>
      <c r="J6" s="461"/>
      <c r="K6" s="461"/>
      <c r="L6" s="461"/>
      <c r="M6" s="461"/>
      <c r="N6" s="461"/>
      <c r="O6" s="461"/>
      <c r="P6" s="462"/>
      <c r="Q6" s="460">
        <f t="shared" si="0"/>
        <v>604.226</v>
      </c>
    </row>
    <row r="7" spans="1:17">
      <c r="A7" s="460" t="s">
        <v>112</v>
      </c>
      <c r="B7" s="461">
        <f>landbouw!B8</f>
        <v>3541.9704188226642</v>
      </c>
      <c r="C7" s="461">
        <f>landbouw!C8</f>
        <v>7637.1428571428569</v>
      </c>
      <c r="D7" s="461">
        <f>landbouw!D8</f>
        <v>0</v>
      </c>
      <c r="E7" s="461">
        <f>landbouw!E8</f>
        <v>37.092281031236475</v>
      </c>
      <c r="F7" s="461">
        <f>landbouw!F8</f>
        <v>18192.124038718655</v>
      </c>
      <c r="G7" s="461">
        <f>landbouw!G8</f>
        <v>0</v>
      </c>
      <c r="H7" s="461">
        <f>landbouw!H8</f>
        <v>0</v>
      </c>
      <c r="I7" s="461">
        <f>landbouw!I8</f>
        <v>0</v>
      </c>
      <c r="J7" s="461">
        <f>landbouw!J8</f>
        <v>316.32970562332468</v>
      </c>
      <c r="K7" s="461">
        <f>landbouw!K8</f>
        <v>0</v>
      </c>
      <c r="L7" s="461">
        <f>landbouw!L8</f>
        <v>0</v>
      </c>
      <c r="M7" s="461">
        <f>landbouw!M8</f>
        <v>0</v>
      </c>
      <c r="N7" s="461">
        <f>landbouw!N8</f>
        <v>0</v>
      </c>
      <c r="O7" s="461">
        <f>landbouw!O8</f>
        <v>0</v>
      </c>
      <c r="P7" s="462">
        <f>landbouw!P8</f>
        <v>0</v>
      </c>
      <c r="Q7" s="460">
        <f t="shared" si="0"/>
        <v>29724.659301338736</v>
      </c>
    </row>
    <row r="8" spans="1:17">
      <c r="A8" s="460" t="s">
        <v>656</v>
      </c>
      <c r="B8" s="461">
        <f>industrie!B18</f>
        <v>23239.173538102583</v>
      </c>
      <c r="C8" s="461">
        <f>industrie!C18</f>
        <v>0</v>
      </c>
      <c r="D8" s="461">
        <f>industrie!D18</f>
        <v>1452.515362705796</v>
      </c>
      <c r="E8" s="461">
        <f>industrie!E18</f>
        <v>212.36639355508106</v>
      </c>
      <c r="F8" s="461">
        <f>industrie!F18</f>
        <v>5298.6822263759695</v>
      </c>
      <c r="G8" s="461">
        <f>industrie!G18</f>
        <v>0</v>
      </c>
      <c r="H8" s="461">
        <f>industrie!H18</f>
        <v>0</v>
      </c>
      <c r="I8" s="461">
        <f>industrie!I18</f>
        <v>0</v>
      </c>
      <c r="J8" s="461">
        <f>industrie!J18</f>
        <v>134.84084634380534</v>
      </c>
      <c r="K8" s="461">
        <f>industrie!K18</f>
        <v>0</v>
      </c>
      <c r="L8" s="461">
        <f>industrie!L18</f>
        <v>0</v>
      </c>
      <c r="M8" s="461">
        <f>industrie!M18</f>
        <v>0</v>
      </c>
      <c r="N8" s="461">
        <f>industrie!N18</f>
        <v>490.2701822992077</v>
      </c>
      <c r="O8" s="461">
        <f>industrie!O18</f>
        <v>0</v>
      </c>
      <c r="P8" s="462">
        <f>industrie!P18</f>
        <v>0</v>
      </c>
      <c r="Q8" s="460">
        <f t="shared" si="0"/>
        <v>30827.848549382445</v>
      </c>
    </row>
    <row r="9" spans="1:17" s="466" customFormat="1">
      <c r="A9" s="464" t="s">
        <v>574</v>
      </c>
      <c r="B9" s="465">
        <f>transport!B14</f>
        <v>0.24476928625138886</v>
      </c>
      <c r="C9" s="465">
        <f>transport!C14</f>
        <v>0</v>
      </c>
      <c r="D9" s="465">
        <f>transport!D14</f>
        <v>1.310620448551735</v>
      </c>
      <c r="E9" s="465">
        <f>transport!E14</f>
        <v>131.14210363275848</v>
      </c>
      <c r="F9" s="465">
        <f>transport!F14</f>
        <v>0</v>
      </c>
      <c r="G9" s="465">
        <f>transport!G14</f>
        <v>28324.942153463282</v>
      </c>
      <c r="H9" s="465">
        <f>transport!H14</f>
        <v>4331.747549260971</v>
      </c>
      <c r="I9" s="465">
        <f>transport!I14</f>
        <v>0</v>
      </c>
      <c r="J9" s="465">
        <f>transport!J14</f>
        <v>0</v>
      </c>
      <c r="K9" s="465">
        <f>transport!K14</f>
        <v>0</v>
      </c>
      <c r="L9" s="465">
        <f>transport!L14</f>
        <v>0</v>
      </c>
      <c r="M9" s="465">
        <f>transport!M14</f>
        <v>1423.5446403365524</v>
      </c>
      <c r="N9" s="465">
        <f>transport!N14</f>
        <v>0</v>
      </c>
      <c r="O9" s="465">
        <f>transport!O14</f>
        <v>0</v>
      </c>
      <c r="P9" s="465">
        <f>transport!P14</f>
        <v>0</v>
      </c>
      <c r="Q9" s="464">
        <f>SUM(B9:P9)</f>
        <v>34212.931836428368</v>
      </c>
    </row>
    <row r="10" spans="1:17">
      <c r="A10" s="460" t="s">
        <v>564</v>
      </c>
      <c r="B10" s="461">
        <f>transport!B54</f>
        <v>0</v>
      </c>
      <c r="C10" s="461">
        <f>transport!C54</f>
        <v>0</v>
      </c>
      <c r="D10" s="461">
        <f>transport!D54</f>
        <v>0</v>
      </c>
      <c r="E10" s="461">
        <f>transport!E54</f>
        <v>0</v>
      </c>
      <c r="F10" s="461">
        <f>transport!F54</f>
        <v>0</v>
      </c>
      <c r="G10" s="461">
        <f>transport!G54</f>
        <v>164.79137223557265</v>
      </c>
      <c r="H10" s="461">
        <f>transport!H54</f>
        <v>0</v>
      </c>
      <c r="I10" s="461">
        <f>transport!I54</f>
        <v>0</v>
      </c>
      <c r="J10" s="461">
        <f>transport!J54</f>
        <v>0</v>
      </c>
      <c r="K10" s="461">
        <f>transport!K54</f>
        <v>0</v>
      </c>
      <c r="L10" s="461">
        <f>transport!L54</f>
        <v>0</v>
      </c>
      <c r="M10" s="461">
        <f>transport!M54</f>
        <v>7.0243402661473748</v>
      </c>
      <c r="N10" s="461">
        <f>transport!N54</f>
        <v>0</v>
      </c>
      <c r="O10" s="461">
        <f>transport!O54</f>
        <v>0</v>
      </c>
      <c r="P10" s="462">
        <f>transport!P54</f>
        <v>0</v>
      </c>
      <c r="Q10" s="460">
        <f t="shared" si="0"/>
        <v>171.81571250172001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49229.323404801973</v>
      </c>
      <c r="C14" s="471">
        <f t="shared" ref="C14:Q14" ca="1" si="1">SUM(C4:C13)</f>
        <v>7637.1428571428569</v>
      </c>
      <c r="D14" s="471">
        <f t="shared" ca="1" si="1"/>
        <v>23815.630086517383</v>
      </c>
      <c r="E14" s="471">
        <f t="shared" si="1"/>
        <v>3148.2336462884614</v>
      </c>
      <c r="F14" s="471">
        <f t="shared" ca="1" si="1"/>
        <v>51587.666166880103</v>
      </c>
      <c r="G14" s="471">
        <f t="shared" si="1"/>
        <v>28489.733525698855</v>
      </c>
      <c r="H14" s="471">
        <f t="shared" si="1"/>
        <v>4331.747549260971</v>
      </c>
      <c r="I14" s="471">
        <f t="shared" si="1"/>
        <v>0</v>
      </c>
      <c r="J14" s="471">
        <f t="shared" si="1"/>
        <v>829.82639028662879</v>
      </c>
      <c r="K14" s="471">
        <f t="shared" si="1"/>
        <v>0</v>
      </c>
      <c r="L14" s="471">
        <f t="shared" ca="1" si="1"/>
        <v>0</v>
      </c>
      <c r="M14" s="471">
        <f t="shared" si="1"/>
        <v>1430.5689806026999</v>
      </c>
      <c r="N14" s="471">
        <f t="shared" ca="1" si="1"/>
        <v>9126.5969872860751</v>
      </c>
      <c r="O14" s="471">
        <f t="shared" si="1"/>
        <v>46.900000000000006</v>
      </c>
      <c r="P14" s="472">
        <f t="shared" si="1"/>
        <v>228.8</v>
      </c>
      <c r="Q14" s="472">
        <f t="shared" ca="1" si="1"/>
        <v>179902.16959476602</v>
      </c>
    </row>
    <row r="16" spans="1:17">
      <c r="A16" s="474" t="s">
        <v>569</v>
      </c>
      <c r="B16" s="828">
        <f ca="1">huishoudens!B10</f>
        <v>0.21808955048106499</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3234.4465932572275</v>
      </c>
      <c r="C21" s="461">
        <f t="shared" ref="C21:C30" ca="1" si="3">C4*$C$16</f>
        <v>0</v>
      </c>
      <c r="D21" s="461">
        <f t="shared" ref="D21:D30" si="4">D4*$D$16</f>
        <v>3646.7742772710594</v>
      </c>
      <c r="E21" s="461">
        <f t="shared" ref="E21:E30" si="5">E4*$E$16</f>
        <v>597.39109849519423</v>
      </c>
      <c r="F21" s="461">
        <f t="shared" ref="F21:F30" si="6">F4*$F$16</f>
        <v>7152.3730286750242</v>
      </c>
      <c r="G21" s="461">
        <f t="shared" ref="G21:G30" si="7">G4*$G$16</f>
        <v>0</v>
      </c>
      <c r="H21" s="461">
        <f t="shared" ref="H21:H30" si="8">H4*$H$16</f>
        <v>0</v>
      </c>
      <c r="I21" s="461">
        <f t="shared" ref="I21:I30" si="9">I4*$I$16</f>
        <v>0</v>
      </c>
      <c r="J21" s="461">
        <f t="shared" ref="J21:J30" si="10">J4*$J$16</f>
        <v>134.04416676510257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14765.029164463609</v>
      </c>
    </row>
    <row r="22" spans="1:17">
      <c r="A22" s="460" t="s">
        <v>156</v>
      </c>
      <c r="B22" s="461">
        <f t="shared" ca="1" si="2"/>
        <v>1529.4380132959084</v>
      </c>
      <c r="C22" s="461">
        <f t="shared" ca="1" si="3"/>
        <v>0</v>
      </c>
      <c r="D22" s="461">
        <f t="shared" ca="1" si="4"/>
        <v>870.31015160827394</v>
      </c>
      <c r="E22" s="461">
        <f t="shared" si="5"/>
        <v>30.86156255655634</v>
      </c>
      <c r="F22" s="461">
        <f t="shared" ca="1" si="6"/>
        <v>349.4885651016985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2780.0982925624371</v>
      </c>
    </row>
    <row r="23" spans="1:17">
      <c r="A23" s="460" t="s">
        <v>195</v>
      </c>
      <c r="B23" s="461">
        <f t="shared" ca="1" si="2"/>
        <v>131.77537672897196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131.77537672897196</v>
      </c>
    </row>
    <row r="24" spans="1:17">
      <c r="A24" s="460" t="s">
        <v>112</v>
      </c>
      <c r="B24" s="461">
        <f t="shared" ca="1" si="2"/>
        <v>772.46673645826434</v>
      </c>
      <c r="C24" s="461">
        <f t="shared" ca="1" si="3"/>
        <v>1814.9445378151263</v>
      </c>
      <c r="D24" s="461">
        <f t="shared" si="4"/>
        <v>0</v>
      </c>
      <c r="E24" s="461">
        <f t="shared" si="5"/>
        <v>8.4199477940906799</v>
      </c>
      <c r="F24" s="461">
        <f t="shared" si="6"/>
        <v>4857.2971183378813</v>
      </c>
      <c r="G24" s="461">
        <f t="shared" si="7"/>
        <v>0</v>
      </c>
      <c r="H24" s="461">
        <f t="shared" si="8"/>
        <v>0</v>
      </c>
      <c r="I24" s="461">
        <f t="shared" si="9"/>
        <v>0</v>
      </c>
      <c r="J24" s="461">
        <f t="shared" si="10"/>
        <v>111.98071579065693</v>
      </c>
      <c r="K24" s="461">
        <f t="shared" si="11"/>
        <v>0</v>
      </c>
      <c r="L24" s="461">
        <f t="shared" si="12"/>
        <v>0</v>
      </c>
      <c r="M24" s="461">
        <f t="shared" si="13"/>
        <v>0</v>
      </c>
      <c r="N24" s="461">
        <f t="shared" si="14"/>
        <v>0</v>
      </c>
      <c r="O24" s="461">
        <f t="shared" si="15"/>
        <v>0</v>
      </c>
      <c r="P24" s="462">
        <f t="shared" si="16"/>
        <v>0</v>
      </c>
      <c r="Q24" s="460">
        <f t="shared" ca="1" si="17"/>
        <v>7565.10905619602</v>
      </c>
    </row>
    <row r="25" spans="1:17">
      <c r="A25" s="460" t="s">
        <v>656</v>
      </c>
      <c r="B25" s="461">
        <f t="shared" ca="1" si="2"/>
        <v>5068.2209104762533</v>
      </c>
      <c r="C25" s="461">
        <f t="shared" ca="1" si="3"/>
        <v>0</v>
      </c>
      <c r="D25" s="461">
        <f t="shared" si="4"/>
        <v>293.40810326657078</v>
      </c>
      <c r="E25" s="461">
        <f t="shared" si="5"/>
        <v>48.207171337003402</v>
      </c>
      <c r="F25" s="461">
        <f t="shared" si="6"/>
        <v>1414.748154442384</v>
      </c>
      <c r="G25" s="461">
        <f t="shared" si="7"/>
        <v>0</v>
      </c>
      <c r="H25" s="461">
        <f t="shared" si="8"/>
        <v>0</v>
      </c>
      <c r="I25" s="461">
        <f t="shared" si="9"/>
        <v>0</v>
      </c>
      <c r="J25" s="461">
        <f t="shared" si="10"/>
        <v>47.733659605707089</v>
      </c>
      <c r="K25" s="461">
        <f t="shared" si="11"/>
        <v>0</v>
      </c>
      <c r="L25" s="461">
        <f t="shared" si="12"/>
        <v>0</v>
      </c>
      <c r="M25" s="461">
        <f t="shared" si="13"/>
        <v>0</v>
      </c>
      <c r="N25" s="461">
        <f t="shared" si="14"/>
        <v>0</v>
      </c>
      <c r="O25" s="461">
        <f t="shared" si="15"/>
        <v>0</v>
      </c>
      <c r="P25" s="462">
        <f t="shared" si="16"/>
        <v>0</v>
      </c>
      <c r="Q25" s="460">
        <f t="shared" ca="1" si="17"/>
        <v>6872.3179991279176</v>
      </c>
    </row>
    <row r="26" spans="1:17" s="466" customFormat="1">
      <c r="A26" s="464" t="s">
        <v>574</v>
      </c>
      <c r="B26" s="822">
        <f t="shared" ca="1" si="2"/>
        <v>5.3381623610136514E-2</v>
      </c>
      <c r="C26" s="465">
        <f t="shared" ca="1" si="3"/>
        <v>0</v>
      </c>
      <c r="D26" s="465">
        <f t="shared" si="4"/>
        <v>0.26474533060745048</v>
      </c>
      <c r="E26" s="465">
        <f t="shared" si="5"/>
        <v>29.769257524636174</v>
      </c>
      <c r="F26" s="465">
        <f t="shared" si="6"/>
        <v>0</v>
      </c>
      <c r="G26" s="465">
        <f t="shared" si="7"/>
        <v>7562.7595549746966</v>
      </c>
      <c r="H26" s="465">
        <f t="shared" si="8"/>
        <v>1078.6051397659817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8671.4520792195326</v>
      </c>
    </row>
    <row r="27" spans="1:17">
      <c r="A27" s="460" t="s">
        <v>564</v>
      </c>
      <c r="B27" s="461">
        <f t="shared" ca="1" si="2"/>
        <v>0</v>
      </c>
      <c r="C27" s="461">
        <f t="shared" ca="1" si="3"/>
        <v>0</v>
      </c>
      <c r="D27" s="461">
        <f t="shared" si="4"/>
        <v>0</v>
      </c>
      <c r="E27" s="461">
        <f t="shared" si="5"/>
        <v>0</v>
      </c>
      <c r="F27" s="461">
        <f t="shared" si="6"/>
        <v>0</v>
      </c>
      <c r="G27" s="461">
        <f t="shared" si="7"/>
        <v>43.999296386897903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43.999296386897903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10736.401011840237</v>
      </c>
      <c r="C31" s="471">
        <f t="shared" ca="1" si="18"/>
        <v>1814.9445378151263</v>
      </c>
      <c r="D31" s="471">
        <f t="shared" ca="1" si="18"/>
        <v>4810.7572774765113</v>
      </c>
      <c r="E31" s="471">
        <f t="shared" si="18"/>
        <v>714.64903770748083</v>
      </c>
      <c r="F31" s="471">
        <f t="shared" ca="1" si="18"/>
        <v>13773.906866556988</v>
      </c>
      <c r="G31" s="471">
        <f t="shared" si="18"/>
        <v>7606.7588513615947</v>
      </c>
      <c r="H31" s="471">
        <f t="shared" si="18"/>
        <v>1078.6051397659817</v>
      </c>
      <c r="I31" s="471">
        <f t="shared" si="18"/>
        <v>0</v>
      </c>
      <c r="J31" s="471">
        <f t="shared" si="18"/>
        <v>293.75854216146661</v>
      </c>
      <c r="K31" s="471">
        <f t="shared" si="18"/>
        <v>0</v>
      </c>
      <c r="L31" s="471">
        <f t="shared" ca="1" si="18"/>
        <v>0</v>
      </c>
      <c r="M31" s="471">
        <f t="shared" si="18"/>
        <v>0</v>
      </c>
      <c r="N31" s="471">
        <f t="shared" ca="1" si="18"/>
        <v>0</v>
      </c>
      <c r="O31" s="471">
        <f t="shared" si="18"/>
        <v>0</v>
      </c>
      <c r="P31" s="472">
        <f t="shared" si="18"/>
        <v>0</v>
      </c>
      <c r="Q31" s="472">
        <f t="shared" ca="1" si="18"/>
        <v>40829.781264685385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0.21808955048106499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0.21808955048106499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0.21808955048106499</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2018-06-27T09:01:43Z</dcterms:modified>
</cp:coreProperties>
</file>