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H68"/>
  <c r="H69" s="1"/>
  <c r="D8" i="17"/>
  <c r="D12" s="1"/>
  <c r="E48" i="14" s="1"/>
  <c r="C97" i="18"/>
  <c r="I100" s="1"/>
  <c r="H7" s="1"/>
  <c r="I67" i="14" s="1"/>
  <c r="F16" i="16"/>
  <c r="D13" i="15"/>
  <c r="E8" i="16"/>
  <c r="L68" i="14"/>
  <c r="B16" i="18"/>
  <c r="B78" i="14" s="1"/>
  <c r="B81"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E31" i="20"/>
  <c r="F43" i="14" s="1"/>
  <c r="H14" i="22"/>
  <c r="F8" i="17"/>
  <c r="G22" i="14" s="1"/>
  <c r="E9"/>
  <c r="J9"/>
  <c r="J15" s="1"/>
  <c r="N9"/>
  <c r="N15" s="1"/>
  <c r="I11" i="48"/>
  <c r="M11"/>
  <c r="M28" s="1"/>
  <c r="M19" i="19"/>
  <c r="N35" i="14" s="1"/>
  <c r="J7" i="15"/>
  <c r="O5" i="16"/>
  <c r="B7" i="18"/>
  <c r="B67" i="14" s="1"/>
  <c r="E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J9"/>
  <c r="B7" i="48"/>
  <c r="C22" i="14"/>
  <c r="C65"/>
  <c r="B65"/>
  <c r="F6" i="15"/>
  <c r="F8"/>
  <c r="N10" i="16"/>
  <c r="E14"/>
  <c r="I41" i="14"/>
  <c r="H15"/>
  <c r="L15"/>
  <c r="M46"/>
  <c r="P20"/>
  <c r="K20"/>
  <c r="L20"/>
  <c r="G20"/>
  <c r="L69"/>
  <c r="D5" i="15"/>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H9" i="18"/>
  <c r="B10" i="48"/>
  <c r="C18" i="14"/>
  <c r="J12" i="17"/>
  <c r="K48" i="14" s="1"/>
  <c r="P24" i="48"/>
  <c r="E5" i="17"/>
  <c r="C8"/>
  <c r="G24" i="48"/>
  <c r="I24"/>
  <c r="G81" i="14"/>
  <c r="D79"/>
  <c r="H79"/>
  <c r="H81" s="1"/>
  <c r="L79"/>
  <c r="L81" s="1"/>
  <c r="F79"/>
  <c r="F81" s="1"/>
  <c r="J79"/>
  <c r="E68"/>
  <c r="E69" s="1"/>
  <c r="I68"/>
  <c r="M68"/>
  <c r="M69" s="1"/>
  <c r="D19" i="18"/>
  <c r="H19"/>
  <c r="L19"/>
  <c r="B68" i="14"/>
  <c r="G68"/>
  <c r="G69" s="1"/>
  <c r="K68"/>
  <c r="E81"/>
  <c r="I81"/>
  <c r="M81"/>
  <c r="F19" i="18"/>
  <c r="D11" i="14"/>
  <c r="C4" i="48"/>
  <c r="M8" i="18"/>
  <c r="M17"/>
  <c r="M18"/>
  <c r="D13" i="14"/>
  <c r="N8" i="17" l="1"/>
  <c r="N5"/>
  <c r="L8"/>
  <c r="L7" i="48" s="1"/>
  <c r="L24" s="1"/>
  <c r="L5" i="17"/>
  <c r="D7" i="48"/>
  <c r="D24" s="1"/>
  <c r="D100" i="18"/>
  <c r="G100"/>
  <c r="L29" i="48"/>
  <c r="E22" i="14"/>
  <c r="G31" i="20"/>
  <c r="H43" i="14" s="1"/>
  <c r="B100" i="18"/>
  <c r="C7" s="1"/>
  <c r="B35" i="13"/>
  <c r="B19" i="18"/>
  <c r="I16"/>
  <c r="D16" i="15"/>
  <c r="E10" i="14" s="1"/>
  <c r="E100" i="18"/>
  <c r="E7" s="1"/>
  <c r="H100"/>
  <c r="J7" s="1"/>
  <c r="K14" i="48"/>
  <c r="F7"/>
  <c r="F24" s="1"/>
  <c r="L30"/>
  <c r="I69" i="14"/>
  <c r="F12" i="17"/>
  <c r="G48" i="14" s="1"/>
  <c r="F100" i="18"/>
  <c r="I7" s="1"/>
  <c r="L12" i="17"/>
  <c r="M48" i="14" s="1"/>
  <c r="D81"/>
  <c r="O79"/>
  <c r="O81" s="1"/>
  <c r="B17" i="6" s="1"/>
  <c r="M23" i="48"/>
  <c r="L27"/>
  <c r="B9" i="18"/>
  <c r="M31" i="20"/>
  <c r="N43" i="14" s="1"/>
  <c r="M12" i="22"/>
  <c r="O18" i="16"/>
  <c r="B34" i="13"/>
  <c r="B46" s="1"/>
  <c r="E5" s="1"/>
  <c r="E8" s="1"/>
  <c r="E12" s="1"/>
  <c r="F37" i="14" s="1"/>
  <c r="K22"/>
  <c r="M13"/>
  <c r="L8" i="48"/>
  <c r="L25" s="1"/>
  <c r="L22" i="16"/>
  <c r="M39" i="14" s="1"/>
  <c r="J19" i="18"/>
  <c r="C7" i="48"/>
  <c r="D22" i="14"/>
  <c r="M22" i="48"/>
  <c r="B36" i="13"/>
  <c r="O68" i="14"/>
  <c r="C68"/>
  <c r="F22"/>
  <c r="E8" i="1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K31"/>
  <c r="L26"/>
  <c r="B48" i="13"/>
  <c r="C48" s="1"/>
  <c r="N5" s="1"/>
  <c r="N8" s="1"/>
  <c r="N4" i="48" s="1"/>
  <c r="N21" s="1"/>
  <c r="M29"/>
  <c r="M25"/>
  <c r="M24"/>
  <c r="I31"/>
  <c r="C50" i="13"/>
  <c r="J5" s="1"/>
  <c r="J8" s="1"/>
  <c r="E7" i="48"/>
  <c r="E24" s="1"/>
  <c r="E12" i="17"/>
  <c r="F48" i="14" s="1"/>
  <c r="C5" i="48"/>
  <c r="M19" i="18"/>
  <c r="F67" i="14" l="1"/>
  <c r="F69" s="1"/>
  <c r="E9" i="18"/>
  <c r="D67" i="14"/>
  <c r="C9" i="18"/>
  <c r="C14" i="48"/>
  <c r="Q13"/>
  <c r="D20" i="15"/>
  <c r="M22" i="14"/>
  <c r="O22"/>
  <c r="R22" s="1"/>
  <c r="N12" i="17"/>
  <c r="O48" i="14" s="1"/>
  <c r="N7" i="48"/>
  <c r="N24" s="1"/>
  <c r="J78" i="14"/>
  <c r="I19" i="18"/>
  <c r="D5" i="48"/>
  <c r="D22" s="1"/>
  <c r="E20" i="15"/>
  <c r="F36" i="14" s="1"/>
  <c r="E16" i="15"/>
  <c r="E5" i="48" s="1"/>
  <c r="E22" s="1"/>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C78" i="14" l="1"/>
  <c r="C81" s="1"/>
  <c r="J81"/>
  <c r="Q7" i="48"/>
  <c r="J20" i="15"/>
  <c r="K36" i="14" s="1"/>
  <c r="M18" i="22"/>
  <c r="N45" i="14" s="1"/>
  <c r="M9" i="48"/>
  <c r="M14" s="1"/>
  <c r="O67" i="14"/>
  <c r="D69"/>
  <c r="J5" i="48"/>
  <c r="J22"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K13" l="1"/>
  <c r="K15" s="1"/>
  <c r="K23" s="1"/>
  <c r="K55" s="1"/>
  <c r="M26" i="48"/>
  <c r="M31" s="1"/>
  <c r="N25"/>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<sst xmlns="http://schemas.openxmlformats.org/spreadsheetml/2006/main" count="2047" uniqueCount="903">
  <si>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</si>
  <si>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</si>
  <si>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</si>
  <si>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</si>
  <si>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</si>
  <si>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</si>
  <si>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</si>
  <si>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</si>
  <si>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</si>
  <si>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</si>
  <si>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</si>
  <si>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</si>
  <si>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</si>
  <si>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</si>
  <si>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</si>
  <si>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</si>
  <si>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</si>
  <si>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</si>
  <si>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</si>
  <si>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</si>
  <si>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</si>
  <si>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</si>
  <si>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</si>
  <si>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</si>
  <si>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</si>
  <si>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</si>
  <si>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</si>
  <si>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</si>
  <si>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</si>
  <si>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</si>
  <si>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</si>
  <si>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</si>
  <si>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</si>
  <si>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</si>
  <si>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</si>
  <si>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</si>
  <si>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</si>
  <si>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</si>
  <si>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</si>
  <si>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</si>
  <si>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</si>
  <si>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</si>
  <si>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</si>
  <si>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</si>
  <si>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</si>
  <si>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</si>
  <si>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</si>
  <si>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</si>
  <si>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</si>
  <si>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</si>
  <si>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</si>
  <si>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</si>
  <si>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</si>
  <si>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</si>
  <si>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</si>
  <si>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</si>
  <si>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</si>
  <si>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</si>
  <si>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</si>
  <si>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</si>
  <si>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</si>
  <si>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</si>
  <si>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</si>
  <si>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</si>
  <si>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</si>
  <si>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</si>
  <si>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</si>
  <si>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</si>
  <si>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</si>
  <si>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</si>
  <si>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</si>
  <si>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</si>
  <si>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</si>
  <si>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</si>
  <si>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</si>
  <si>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</si>
  <si>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</si>
  <si>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</si>
  <si>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</si>
  <si>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</si>
  <si>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</si>
  <si>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</si>
  <si>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</si>
  <si>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</si>
  <si>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</si>
  <si>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</si>
  <si>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</si>
  <si>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</si>
  <si>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</si>
  <si>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</si>
  <si>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</si>
  <si>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</si>
  <si>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</si>
  <si>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</si>
  <si>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</si>
  <si>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</si>
  <si>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</si>
  <si>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</si>
  <si>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</si>
  <si>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</si>
  <si>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</si>
  <si>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</si>
  <si>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</si>
  <si>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</si>
  <si>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</si>
  <si>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</si>
  <si>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</si>
  <si>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</si>
  <si>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</si>
  <si>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</si>
  <si>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</si>
  <si>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</si>
  <si>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</si>
  <si>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</si>
  <si>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</si>
  <si>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</si>
  <si>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</si>
  <si>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</si>
  <si>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</si>
  <si>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</si>
  <si>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</si>
  <si>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</si>
  <si>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</si>
  <si>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</si>
  <si>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</si>
  <si>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</si>
  <si>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</si>
  <si>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</si>
  <si>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</si>
  <si>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</si>
  <si>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</si>
  <si>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</si>
  <si>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</si>
  <si>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</si>
  <si>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</si>
  <si>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</si>
  <si>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</si>
  <si>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</si>
  <si>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</si>
  <si>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</si>
  <si>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</si>
  <si>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</si>
  <si>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</si>
  <si>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</si>
  <si>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</si>
  <si>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</si>
  <si>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</si>
  <si>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</si>
  <si>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</si>
  <si>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</si>
  <si>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</si>
  <si>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</si>
  <si>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</si>
  <si>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</si>
  <si>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</si>
  <si>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</si>
  <si>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</si>
  <si>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</si>
  <si>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</si>
  <si>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</si>
  <si>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</si>
  <si>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</si>
  <si>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</si>
  <si>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</si>
  <si>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</si>
  <si>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</si>
  <si>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</si>
  <si>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</si>
  <si>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</si>
  <si>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</si>
  <si>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</si>
  <si>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</si>
  <si>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</si>
  <si>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</si>
  <si>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</si>
  <si>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</si>
  <si>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</si>
  <si>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</si>
  <si>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</si>
  <si>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</si>
  <si>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</si>
  <si>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</si>
  <si>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</si>
  <si>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</si>
  <si>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</si>
  <si>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</si>
  <si>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</si>
  <si>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</si>
  <si>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</si>
  <si>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</si>
  <si>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</si>
  <si>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</si>
  <si>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</si>
  <si>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</si>
  <si>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</si>
  <si>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</si>
  <si>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</si>
  <si>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</si>
  <si>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</si>
  <si>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</si>
  <si>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</si>
  <si>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</si>
  <si>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</si>
  <si>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</si>
  <si>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</si>
  <si>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</si>
  <si>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</si>
  <si>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</si>
  <si>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</si>
  <si>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</si>
  <si>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</si>
  <si>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</si>
  <si>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</si>
  <si>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</si>
  <si>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</si>
  <si>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</si>
  <si>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</si>
  <si>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</si>
  <si>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</si>
  <si>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</si>
  <si>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</si>
  <si>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</si>
  <si>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</si>
  <si>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</si>
  <si>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</si>
  <si>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</si>
  <si>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</si>
  <si>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</si>
  <si>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</si>
  <si>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</si>
  <si>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</si>
  <si>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</si>
  <si>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</si>
  <si>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</si>
  <si>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</si>
  <si>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</si>
  <si>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</si>
  <si>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</si>
  <si>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</si>
  <si>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</si>
  <si>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</si>
  <si>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</si>
  <si>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</si>
  <si>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</si>
  <si>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</si>
  <si>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</si>
  <si>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</si>
  <si>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</si>
  <si>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</si>
  <si>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</si>
  <si>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</si>
  <si>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</si>
  <si>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</si>
  <si>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</si>
  <si>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</si>
  <si>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</si>
  <si>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</si>
  <si>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</si>
  <si>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</si>
  <si>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</si>
  <si>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</si>
  <si>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</si>
  <si>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</si>
  <si>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</si>
  <si>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</si>
  <si>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</si>
  <si>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</si>
  <si>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</si>
  <si>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</si>
  <si>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</si>
  <si>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</si>
  <si>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</si>
  <si>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</si>
  <si>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</si>
  <si>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</si>
  <si>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</si>
  <si>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</si>
  <si>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</si>
  <si>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</si>
  <si>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</si>
  <si>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</si>
  <si>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</si>
  <si>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</si>
  <si>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</si>
  <si>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</si>
  <si>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</si>
  <si>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</si>
  <si>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</si>
  <si>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</si>
  <si>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</si>
  <si>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</si>
  <si>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</si>
  <si>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</si>
  <si>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</si>
  <si>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</si>
  <si>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</si>
  <si>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</si>
  <si>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</si>
  <si>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</si>
  <si>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</si>
  <si>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</si>
  <si>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</si>
  <si>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</si>
  <si>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</si>
  <si>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</si>
  <si>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</si>
  <si>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</si>
  <si>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</si>
  <si>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</si>
  <si>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</si>
  <si>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</si>
  <si>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</si>
  <si>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</si>
  <si>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</si>
  <si>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</si>
  <si>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</si>
  <si>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</si>
  <si>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</si>
  <si>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</si>
  <si>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</si>
  <si>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</si>
  <si>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</si>
  <si>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</si>
  <si>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</si>
  <si>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</si>
  <si>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</si>
  <si>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</si>
  <si>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</si>
  <si>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</si>
  <si>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</si>
  <si>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</si>
  <si>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</si>
  <si>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</si>
  <si>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</si>
  <si>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</si>
  <si>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</si>
  <si>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</si>
  <si>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</si>
  <si>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</si>
  <si>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</si>
  <si>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</si>
  <si>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</si>
  <si>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</si>
  <si>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</si>
  <si>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</si>
  <si>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</si>
  <si>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</si>
  <si>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</si>
  <si>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</si>
  <si>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</si>
  <si>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</si>
  <si>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</si>
  <si>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</si>
  <si>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</si>
  <si>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</si>
  <si>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</si>
  <si>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</si>
  <si>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</si>
  <si>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</si>
  <si>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</si>
  <si>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</si>
  <si>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</si>
  <si>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</si>
  <si>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</si>
  <si>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</si>
  <si>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</si>
  <si>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</si>
  <si>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</si>
  <si>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</si>
  <si>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</si>
  <si>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</si>
  <si>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</si>
  <si>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</si>
  <si>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</si>
  <si>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</si>
  <si>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</si>
  <si>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</si>
  <si>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</si>
  <si>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</si>
  <si>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</si>
  <si>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</si>
  <si>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</si>
  <si>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</si>
  <si>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</si>
  <si>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</si>
  <si>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</si>
  <si>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</si>
  <si>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</si>
  <si>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</si>
  <si>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</si>
  <si>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</si>
  <si>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</si>
  <si>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</si>
  <si>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</si>
  <si>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</si>
  <si>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</si>
  <si>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</si>
  <si>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</si>
  <si>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</si>
  <si>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</si>
  <si>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</si>
  <si>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</si>
  <si>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</si>
  <si>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</si>
  <si>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</si>
  <si>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</si>
  <si>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</si>
  <si>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</si>
  <si>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</si>
  <si>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</si>
  <si>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</si>
  <si>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</si>
  <si>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</si>
  <si>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</si>
  <si>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</si>
  <si>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</si>
  <si>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</si>
  <si>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</si>
  <si>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</si>
  <si>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</si>
  <si>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</si>
  <si>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</si>
  <si>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</si>
  <si>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</si>
  <si>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</si>
  <si>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</si>
  <si>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</si>
  <si>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</si>
  <si>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</si>
  <si>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</si>
  <si>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</si>
  <si>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</si>
  <si>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</si>
  <si>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</si>
  <si>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</si>
  <si>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</si>
  <si>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</si>
  <si>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</si>
  <si>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</si>
  <si>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</si>
  <si>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</si>
  <si>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</si>
  <si>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</si>
  <si>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</si>
  <si>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</si>
  <si>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</si>
  <si>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</si>
  <si>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</si>
  <si>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</si>
  <si>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</si>
  <si>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</si>
  <si>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</si>
  <si>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</si>
  <si>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</si>
  <si>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</si>
  <si>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</si>
  <si>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</si>
  <si>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</si>
  <si>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</si>
  <si>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</si>
  <si>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</si>
  <si>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</si>
  <si>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</si>
  <si>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</si>
  <si>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</si>
  <si>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</si>
  <si>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</si>
  <si>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</si>
  <si>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</si>
  <si>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</si>
  <si>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</si>
  <si>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</si>
  <si>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</si>
  <si>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</si>
  <si>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</si>
  <si>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</si>
  <si>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</si>
  <si>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</si>
  <si>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</si>
  <si>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</si>
  <si>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</si>
  <si>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</si>
  <si>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</si>
  <si>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</si>
  <si>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</si>
  <si>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</si>
  <si>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</si>
  <si>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</si>
  <si>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</si>
  <si>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</si>
  <si>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</si>
  <si>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</si>
  <si>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</si>
  <si>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</si>
  <si>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</si>
  <si>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</si>
  <si>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</si>
  <si>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</si>
  <si>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</si>
  <si>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</si>
  <si>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</si>
  <si>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</si>
  <si>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</si>
  <si>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</si>
  <si>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</si>
  <si>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</si>
  <si>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</si>
  <si>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</si>
  <si>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</si>
  <si>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</si>
  <si>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</si>
  <si>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</si>
  <si>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</si>
  <si>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</si>
  <si>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</si>
  <si>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</si>
  <si>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</si>
  <si>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</si>
  <si>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</si>
  <si>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</si>
  <si>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</si>
  <si>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</si>
  <si>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</si>
  <si>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</si>
  <si>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</si>
  <si>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</si>
  <si>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</si>
  <si>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</si>
  <si>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</si>
  <si>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</si>
  <si>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</si>
  <si>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</si>
  <si>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</si>
  <si>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</si>
  <si>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</si>
  <si>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</si>
  <si>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</si>
  <si>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</si>
  <si>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</si>
  <si>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</si>
  <si>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</si>
  <si>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</si>
  <si>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</si>
  <si>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</si>
  <si>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</si>
  <si>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</si>
  <si>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</si>
  <si>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</si>
  <si>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</si>
  <si>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</si>
  <si>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</si>
  <si>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</si>
  <si>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</si>
  <si>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</si>
  <si>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</si>
  <si>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</si>
  <si>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</si>
  <si>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</si>
  <si>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</si>
  <si>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</si>
  <si>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</si>
  <si>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</si>
  <si>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</si>
  <si>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</si>
  <si>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</si>
  <si>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</si>
  <si>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</si>
  <si>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</si>
  <si>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</si>
  <si>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</si>
  <si>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</si>
  <si>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</si>
  <si>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</si>
  <si>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</si>
  <si>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</si>
  <si>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</si>
  <si>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</si>
  <si>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</si>
  <si>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</si>
  <si>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</si>
  <si>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</si>
  <si>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</si>
  <si>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</si>
  <si>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</si>
  <si>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</si>
  <si>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</si>
  <si>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</si>
  <si>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</si>
  <si>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</si>
  <si>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</si>
  <si>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</si>
  <si>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</si>
  <si>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</si>
  <si>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</si>
  <si>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</si>
  <si>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</si>
  <si>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</si>
  <si>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</si>
  <si>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</si>
  <si>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</si>
  <si>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</si>
  <si>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</si>
  <si>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</si>
  <si>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</si>
  <si>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</si>
  <si>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</si>
  <si>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</si>
  <si>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</si>
  <si>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</si>
  <si>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</si>
  <si>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</si>
  <si>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</si>
  <si>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</si>
  <si>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</si>
  <si>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</si>
  <si>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</si>
  <si>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</si>
  <si>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</si>
  <si>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</si>
  <si>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</si>
  <si>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</si>
  <si>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</si>
  <si>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</si>
  <si>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</si>
  <si>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</si>
  <si>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</si>
  <si>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</si>
  <si>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</si>
  <si>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</si>
  <si>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</si>
  <si>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</si>
  <si>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</si>
  <si>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</si>
  <si>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</si>
  <si>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</si>
  <si>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</si>
  <si>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</si>
  <si>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</si>
  <si>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</si>
  <si>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</si>
  <si>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</si>
  <si>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</si>
  <si>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</si>
  <si>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</si>
  <si>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</si>
  <si>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</si>
  <si>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</si>
  <si>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</si>
  <si>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</si>
  <si>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</si>
  <si>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</si>
  <si>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</si>
  <si>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</si>
  <si>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</si>
  <si>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</si>
  <si>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</si>
  <si>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</si>
  <si>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</si>
  <si>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</si>
  <si>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</si>
  <si>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</si>
  <si>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</si>
  <si>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</si>
  <si>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</si>
  <si>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</si>
  <si>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</si>
  <si>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</si>
  <si>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</si>
  <si>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</si>
  <si>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</si>
  <si>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</si>
  <si>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</si>
  <si>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</si>
  <si>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</si>
  <si>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</si>
  <si>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</si>
  <si>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</si>
  <si>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</si>
  <si>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</si>
  <si>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</si>
  <si>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</si>
  <si>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</si>
  <si>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</si>
  <si>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</si>
  <si>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</si>
  <si>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</si>
  <si>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</si>
  <si>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</si>
  <si>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</si>
  <si>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</si>
  <si>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</si>
  <si>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</si>
  <si>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</si>
  <si>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</si>
  <si>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</si>
  <si>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</si>
  <si>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</si>
  <si>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</si>
  <si>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</si>
  <si>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</si>
  <si>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</si>
  <si>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</si>
  <si>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</si>
  <si>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</si>
  <si>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</si>
  <si>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</si>
  <si>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</si>
  <si>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</si>
  <si>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</si>
  <si>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</si>
  <si>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</si>
  <si>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</si>
  <si>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</si>
  <si>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</si>
  <si>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</si>
  <si>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</si>
  <si>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</si>
  <si>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</si>
  <si>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</si>
  <si>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</si>
  <si>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</si>
  <si>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</si>
  <si>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</si>
  <si>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</si>
  <si>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</si>
  <si>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</si>
  <si>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</si>
  <si>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</si>
  <si>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</si>
  <si>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</si>
  <si>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</si>
  <si>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</si>
  <si>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</si>
  <si>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</si>
  <si>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</si>
  <si>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</si>
  <si>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</si>
  <si>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</si>
  <si>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</si>
  <si>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</si>
  <si>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</si>
  <si>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</si>
  <si>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</si>
  <si>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</si>
  <si>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</si>
  <si>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</si>
  <si>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</si>
  <si>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</si>
  <si>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</si>
  <si>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</si>
  <si>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</si>
  <si>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</si>
  <si>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</si>
  <si>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</si>
  <si>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</si>
  <si>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</si>
  <si>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</si>
  <si>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</si>
  <si>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</si>
  <si>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</si>
  <si>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</si>
  <si>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</si>
  <si>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</si>
  <si>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</si>
  <si>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</si>
  <si>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</si>
  <si>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</si>
  <si>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</si>
  <si>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</si>
  <si>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</si>
  <si>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</si>
  <si>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</si>
  <si>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</si>
  <si>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</si>
  <si>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</si>
  <si>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</si>
  <si>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</si>
  <si>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</si>
  <si>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</si>
  <si>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</si>
  <si>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</si>
  <si>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</si>
  <si>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</si>
  <si>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</si>
  <si>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</si>
  <si>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</si>
  <si>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</si>
  <si>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</si>
  <si>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</si>
  <si>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</si>
  <si>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</si>
  <si>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</si>
  <si>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</si>
  <si>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</si>
  <si>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</si>
  <si>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</si>
  <si>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</si>
  <si>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</si>
  <si>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</si>
  <si>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</si>
  <si>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</si>
  <si>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</si>
  <si>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</si>
  <si>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</si>
  <si>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</si>
  <si>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</si>
  <si>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</si>
  <si>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</si>
  <si>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</si>
  <si>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</si>
  <si>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</si>
  <si>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</si>
  <si>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</si>
  <si>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</si>
  <si>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</si>
  <si>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</si>
  <si>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</si>
  <si>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</si>
  <si>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</si>
  <si>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</si>
  <si>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</si>
  <si>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</si>
  <si>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</si>
  <si>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</si>
  <si>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</si>
  <si>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</si>
  <si>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</si>
  <si>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</si>
  <si>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</si>
  <si>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</si>
  <si>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</si>
  <si>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</si>
  <si>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</si>
  <si>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</si>
  <si>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</si>
  <si>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</si>
  <si>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</si>
  <si>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</si>
  <si>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</si>
  <si>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</si>
  <si>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</si>
  <si>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</si>
  <si>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</si>
  <si>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</si>
  <si>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</si>
  <si>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</si>
  <si>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</si>
  <si>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</si>
  <si>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</si>
  <si>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</si>
  <si>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</si>
  <si>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</si>
  <si>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</si>
  <si>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</si>
  <si>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</si>
  <si>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</si>
  <si>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</si>
  <si>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</si>
  <si>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</si>
  <si>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</si>
  <si>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</si>
  <si>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</si>
  <si>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</si>
  <si>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</si>
  <si>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</si>
  <si>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</si>
  <si>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</si>
  <si>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</si>
  <si>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</si>
  <si>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</si>
  <si>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</si>
  <si>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</si>
  <si>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</si>
  <si>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</si>
  <si>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</si>
  <si>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</si>
  <si>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</si>
  <si>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</si>
  <si>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</si>
  <si>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</si>
  <si>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</si>
  <si>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</si>
  <si>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</si>
  <si>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</si>
  <si>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</si>
  <si>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36006</t>
  </si>
  <si>
    <t>HOOGLEDE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</si>
  <si>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</si>
  <si>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</si>
  <si>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</si>
  <si>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</si>
  <si>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</si>
  <si>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</si>
  <si>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</si>
  <si>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Domein De Vossenberg nv</t>
  </si>
  <si>
    <t>Hogestraat 194 , 8830 Hooglede</t>
  </si>
  <si>
    <t>WKK-0336 Domein De Vossenberg</t>
  </si>
  <si>
    <t>interne verbrandingsmotor</t>
  </si>
  <si>
    <t>WKK interne verbrandinsgmotor (gas)</t>
  </si>
  <si>
    <t>Infrax West</t>
  </si>
  <si>
    <t>Senergho bvba</t>
  </si>
  <si>
    <t>Driewegenstraat 21, 8830 Hooglede</t>
  </si>
  <si>
    <t>WKK-0045 Senergho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</si>
</sst>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36006</v>
      </c>
      <c r="B6" s="396"/>
      <c r="C6" s="397"/>
    </row>
    <row r="7" spans="1:7" s="394" customFormat="1" ht="15.75" customHeight="1">
      <c r="A7" s="398" t="str">
        <f>txtMunicipality</f>
        <v>HOOGLEDE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18485.890000000003</v>
      </c>
      <c r="D10" s="702">
        <f ca="1">tertiair!C16</f>
        <v>6888.2142857142853</v>
      </c>
      <c r="E10" s="702">
        <f ca="1">tertiair!D16</f>
        <v>14670.661722571429</v>
      </c>
      <c r="F10" s="702">
        <f>tertiair!E16</f>
        <v>163.53861232168822</v>
      </c>
      <c r="G10" s="702">
        <f ca="1">tertiair!F16</f>
        <v>2496.6094441295195</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0</v>
      </c>
      <c r="Q10" s="703">
        <f>tertiair!P16</f>
        <v>95.333333333333343</v>
      </c>
      <c r="R10" s="705">
        <f ca="1">SUM(C10:Q10)</f>
        <v>42800.247398070263</v>
      </c>
      <c r="S10" s="67"/>
    </row>
    <row r="11" spans="1:19" s="457" customFormat="1">
      <c r="A11" s="858" t="s">
        <v>226</v>
      </c>
      <c r="B11" s="863"/>
      <c r="C11" s="702">
        <f>huishoudens!B8</f>
        <v>18626.065172267652</v>
      </c>
      <c r="D11" s="702">
        <f>huishoudens!C8</f>
        <v>0</v>
      </c>
      <c r="E11" s="702">
        <f>huishoudens!D8</f>
        <v>37141.818164000004</v>
      </c>
      <c r="F11" s="702">
        <f>huishoudens!E8</f>
        <v>4493.7771688067651</v>
      </c>
      <c r="G11" s="702">
        <f>huishoudens!F8</f>
        <v>12445.389378735046</v>
      </c>
      <c r="H11" s="702">
        <f>huishoudens!G8</f>
        <v>0</v>
      </c>
      <c r="I11" s="702">
        <f>huishoudens!H8</f>
        <v>0</v>
      </c>
      <c r="J11" s="702">
        <f>huishoudens!I8</f>
        <v>0</v>
      </c>
      <c r="K11" s="702">
        <f>huishoudens!J8</f>
        <v>694.20237025241477</v>
      </c>
      <c r="L11" s="702">
        <f>huishoudens!K8</f>
        <v>0</v>
      </c>
      <c r="M11" s="702">
        <f>huishoudens!L8</f>
        <v>0</v>
      </c>
      <c r="N11" s="702">
        <f>huishoudens!M8</f>
        <v>0</v>
      </c>
      <c r="O11" s="702">
        <f>huishoudens!N8</f>
        <v>10244.030018619585</v>
      </c>
      <c r="P11" s="702">
        <f>huishoudens!O8</f>
        <v>53.153333333333336</v>
      </c>
      <c r="Q11" s="703">
        <f>huishoudens!P8</f>
        <v>209.73333333333335</v>
      </c>
      <c r="R11" s="705">
        <f>SUM(C11:Q11)</f>
        <v>83908.168939348136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55264.46</v>
      </c>
      <c r="D13" s="702">
        <f>industrie!C18</f>
        <v>0</v>
      </c>
      <c r="E13" s="702">
        <f>industrie!D18</f>
        <v>27555.813163999999</v>
      </c>
      <c r="F13" s="702">
        <f>industrie!E18</f>
        <v>796.26644267215545</v>
      </c>
      <c r="G13" s="702">
        <f>industrie!F18</f>
        <v>24585.785845884482</v>
      </c>
      <c r="H13" s="702">
        <f>industrie!G18</f>
        <v>0</v>
      </c>
      <c r="I13" s="702">
        <f>industrie!H18</f>
        <v>0</v>
      </c>
      <c r="J13" s="702">
        <f>industrie!I18</f>
        <v>0</v>
      </c>
      <c r="K13" s="702">
        <f>industrie!J18</f>
        <v>460.43536818042736</v>
      </c>
      <c r="L13" s="702">
        <f>industrie!K18</f>
        <v>0</v>
      </c>
      <c r="M13" s="702">
        <f>industrie!L18</f>
        <v>0</v>
      </c>
      <c r="N13" s="702">
        <f>industrie!M18</f>
        <v>0</v>
      </c>
      <c r="O13" s="702">
        <f>industrie!N18</f>
        <v>2058.2425096526213</v>
      </c>
      <c r="P13" s="702">
        <f>industrie!O18</f>
        <v>0</v>
      </c>
      <c r="Q13" s="703">
        <f>industrie!P18</f>
        <v>0</v>
      </c>
      <c r="R13" s="705">
        <f>SUM(C13:Q13)</f>
        <v>110721.00333038969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92376.415172267647</v>
      </c>
      <c r="D15" s="707">
        <f t="shared" ref="D15:Q15" ca="1" si="0">SUM(D9:D14)</f>
        <v>6888.2142857142853</v>
      </c>
      <c r="E15" s="707">
        <f t="shared" ca="1" si="0"/>
        <v>79368.293050571432</v>
      </c>
      <c r="F15" s="707">
        <f t="shared" si="0"/>
        <v>5453.5822238006094</v>
      </c>
      <c r="G15" s="707">
        <f t="shared" ca="1" si="0"/>
        <v>39527.784668749046</v>
      </c>
      <c r="H15" s="707">
        <f t="shared" si="0"/>
        <v>0</v>
      </c>
      <c r="I15" s="707">
        <f t="shared" si="0"/>
        <v>0</v>
      </c>
      <c r="J15" s="707">
        <f t="shared" si="0"/>
        <v>0</v>
      </c>
      <c r="K15" s="707">
        <f t="shared" si="0"/>
        <v>1154.6377384328421</v>
      </c>
      <c r="L15" s="707">
        <f t="shared" si="0"/>
        <v>0</v>
      </c>
      <c r="M15" s="707">
        <f t="shared" ca="1" si="0"/>
        <v>0</v>
      </c>
      <c r="N15" s="707">
        <f t="shared" si="0"/>
        <v>0</v>
      </c>
      <c r="O15" s="707">
        <f t="shared" ca="1" si="0"/>
        <v>12302.272528272206</v>
      </c>
      <c r="P15" s="707">
        <f t="shared" si="0"/>
        <v>53.153333333333336</v>
      </c>
      <c r="Q15" s="708">
        <f t="shared" si="0"/>
        <v>305.06666666666672</v>
      </c>
      <c r="R15" s="709">
        <f ca="1">SUM(R9:R14)</f>
        <v>237429.41966780811</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589.92833902332802</v>
      </c>
      <c r="I18" s="702">
        <f>transport!H54</f>
        <v>0</v>
      </c>
      <c r="J18" s="702">
        <f>transport!I54</f>
        <v>0</v>
      </c>
      <c r="K18" s="702">
        <f>transport!J54</f>
        <v>0</v>
      </c>
      <c r="L18" s="702">
        <f>transport!K54</f>
        <v>0</v>
      </c>
      <c r="M18" s="702">
        <f>transport!L54</f>
        <v>0</v>
      </c>
      <c r="N18" s="702">
        <f>transport!M54</f>
        <v>25.146082162719498</v>
      </c>
      <c r="O18" s="702">
        <f>transport!N54</f>
        <v>0</v>
      </c>
      <c r="P18" s="702">
        <f>transport!O54</f>
        <v>0</v>
      </c>
      <c r="Q18" s="703">
        <f>transport!P54</f>
        <v>0</v>
      </c>
      <c r="R18" s="705">
        <f>SUM(C18:Q18)</f>
        <v>615.07442118604752</v>
      </c>
      <c r="S18" s="67"/>
    </row>
    <row r="19" spans="1:19" s="457" customFormat="1" ht="15" thickBot="1">
      <c r="A19" s="858" t="s">
        <v>308</v>
      </c>
      <c r="B19" s="863"/>
      <c r="C19" s="711">
        <f>transport!B14</f>
        <v>0.54900375911999422</v>
      </c>
      <c r="D19" s="711">
        <f>transport!C14</f>
        <v>0</v>
      </c>
      <c r="E19" s="711">
        <f>transport!D14</f>
        <v>2.9334659275254662</v>
      </c>
      <c r="F19" s="711">
        <f>transport!E14</f>
        <v>293.62748766124861</v>
      </c>
      <c r="G19" s="711">
        <f>transport!F14</f>
        <v>0</v>
      </c>
      <c r="H19" s="711">
        <f>transport!G14</f>
        <v>63517.045936126036</v>
      </c>
      <c r="I19" s="711">
        <f>transport!H14</f>
        <v>9697.0174775100058</v>
      </c>
      <c r="J19" s="711">
        <f>transport!I14</f>
        <v>0</v>
      </c>
      <c r="K19" s="711">
        <f>transport!J14</f>
        <v>0</v>
      </c>
      <c r="L19" s="711">
        <f>transport!K14</f>
        <v>0</v>
      </c>
      <c r="M19" s="711">
        <f>transport!L14</f>
        <v>0</v>
      </c>
      <c r="N19" s="711">
        <f>transport!M14</f>
        <v>3191.4450685111328</v>
      </c>
      <c r="O19" s="711">
        <f>transport!N14</f>
        <v>0</v>
      </c>
      <c r="P19" s="711">
        <f>transport!O14</f>
        <v>0</v>
      </c>
      <c r="Q19" s="712">
        <f>transport!P14</f>
        <v>0</v>
      </c>
      <c r="R19" s="713">
        <f>SUM(C19:Q19)</f>
        <v>76702.618439495069</v>
      </c>
      <c r="S19" s="67"/>
    </row>
    <row r="20" spans="1:19" s="457" customFormat="1" ht="15.75" thickBot="1">
      <c r="A20" s="714" t="s">
        <v>231</v>
      </c>
      <c r="B20" s="866"/>
      <c r="C20" s="861">
        <f>SUM(C17:C19)</f>
        <v>0.54900375911999422</v>
      </c>
      <c r="D20" s="715">
        <f t="shared" ref="D20:R20" si="1">SUM(D17:D19)</f>
        <v>0</v>
      </c>
      <c r="E20" s="715">
        <f t="shared" si="1"/>
        <v>2.9334659275254662</v>
      </c>
      <c r="F20" s="715">
        <f t="shared" si="1"/>
        <v>293.62748766124861</v>
      </c>
      <c r="G20" s="715">
        <f t="shared" si="1"/>
        <v>0</v>
      </c>
      <c r="H20" s="715">
        <f t="shared" si="1"/>
        <v>64106.974275149361</v>
      </c>
      <c r="I20" s="715">
        <f t="shared" si="1"/>
        <v>9697.0174775100058</v>
      </c>
      <c r="J20" s="715">
        <f t="shared" si="1"/>
        <v>0</v>
      </c>
      <c r="K20" s="715">
        <f t="shared" si="1"/>
        <v>0</v>
      </c>
      <c r="L20" s="715">
        <f t="shared" si="1"/>
        <v>0</v>
      </c>
      <c r="M20" s="715">
        <f t="shared" si="1"/>
        <v>0</v>
      </c>
      <c r="N20" s="715">
        <f t="shared" si="1"/>
        <v>3216.5911506738526</v>
      </c>
      <c r="O20" s="715">
        <f t="shared" si="1"/>
        <v>0</v>
      </c>
      <c r="P20" s="715">
        <f t="shared" si="1"/>
        <v>0</v>
      </c>
      <c r="Q20" s="716">
        <f t="shared" si="1"/>
        <v>0</v>
      </c>
      <c r="R20" s="717">
        <f t="shared" si="1"/>
        <v>77317.692860681113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4630.4430000000002</v>
      </c>
      <c r="D22" s="711">
        <f>+landbouw!C8</f>
        <v>0</v>
      </c>
      <c r="E22" s="711">
        <f>+landbouw!D8</f>
        <v>3005.3756040000003</v>
      </c>
      <c r="F22" s="711">
        <f>+landbouw!E8</f>
        <v>48.491001546029821</v>
      </c>
      <c r="G22" s="711">
        <f>+landbouw!F8</f>
        <v>23782.692526894887</v>
      </c>
      <c r="H22" s="711">
        <f>+landbouw!G8</f>
        <v>0</v>
      </c>
      <c r="I22" s="711">
        <f>+landbouw!H8</f>
        <v>0</v>
      </c>
      <c r="J22" s="711">
        <f>+landbouw!I8</f>
        <v>0</v>
      </c>
      <c r="K22" s="711">
        <f>+landbouw!J8</f>
        <v>413.54006326864231</v>
      </c>
      <c r="L22" s="711">
        <f>+landbouw!K8</f>
        <v>0</v>
      </c>
      <c r="M22" s="711">
        <f>+landbouw!L8</f>
        <v>0</v>
      </c>
      <c r="N22" s="711">
        <f>+landbouw!M8</f>
        <v>0</v>
      </c>
      <c r="O22" s="711">
        <f>+landbouw!N8</f>
        <v>0</v>
      </c>
      <c r="P22" s="711">
        <f>+landbouw!O8</f>
        <v>0</v>
      </c>
      <c r="Q22" s="712">
        <f>+landbouw!P8</f>
        <v>0</v>
      </c>
      <c r="R22" s="713">
        <f>SUM(C22:Q22)</f>
        <v>31880.54219570956</v>
      </c>
      <c r="S22" s="67"/>
    </row>
    <row r="23" spans="1:19" s="457" customFormat="1" ht="17.25" thickTop="1" thickBot="1">
      <c r="A23" s="718" t="s">
        <v>116</v>
      </c>
      <c r="B23" s="852"/>
      <c r="C23" s="719">
        <f ca="1">C20+C15+C22</f>
        <v>97007.407176026769</v>
      </c>
      <c r="D23" s="719">
        <f t="shared" ref="D23:Q23" ca="1" si="2">D20+D15+D22</f>
        <v>6888.2142857142853</v>
      </c>
      <c r="E23" s="719">
        <f t="shared" ca="1" si="2"/>
        <v>82376.602120498952</v>
      </c>
      <c r="F23" s="719">
        <f t="shared" si="2"/>
        <v>5795.7007130078882</v>
      </c>
      <c r="G23" s="719">
        <f t="shared" ca="1" si="2"/>
        <v>63310.477195643936</v>
      </c>
      <c r="H23" s="719">
        <f t="shared" si="2"/>
        <v>64106.974275149361</v>
      </c>
      <c r="I23" s="719">
        <f t="shared" si="2"/>
        <v>9697.0174775100058</v>
      </c>
      <c r="J23" s="719">
        <f t="shared" si="2"/>
        <v>0</v>
      </c>
      <c r="K23" s="719">
        <f t="shared" si="2"/>
        <v>1568.1778017014844</v>
      </c>
      <c r="L23" s="719">
        <f t="shared" si="2"/>
        <v>0</v>
      </c>
      <c r="M23" s="719">
        <f t="shared" ca="1" si="2"/>
        <v>0</v>
      </c>
      <c r="N23" s="719">
        <f t="shared" si="2"/>
        <v>3216.5911506738526</v>
      </c>
      <c r="O23" s="719">
        <f t="shared" ca="1" si="2"/>
        <v>12302.272528272206</v>
      </c>
      <c r="P23" s="719">
        <f t="shared" si="2"/>
        <v>53.153333333333336</v>
      </c>
      <c r="Q23" s="720">
        <f t="shared" si="2"/>
        <v>305.06666666666672</v>
      </c>
      <c r="R23" s="721">
        <f ca="1">R20+R15+R22</f>
        <v>346627.65472419874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3707.7048560815701</v>
      </c>
      <c r="D36" s="702">
        <f ca="1">tertiair!C20</f>
        <v>11.457983193277309</v>
      </c>
      <c r="E36" s="702">
        <f ca="1">tertiair!D20</f>
        <v>2963.4736679594289</v>
      </c>
      <c r="F36" s="702">
        <f>tertiair!E20</f>
        <v>37.123264997023227</v>
      </c>
      <c r="G36" s="702">
        <f ca="1">tertiair!F20</f>
        <v>666.59472158258177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7386.3544938138812</v>
      </c>
    </row>
    <row r="37" spans="1:18">
      <c r="A37" s="873" t="s">
        <v>226</v>
      </c>
      <c r="B37" s="880"/>
      <c r="C37" s="702">
        <f ca="1">huishoudens!B12</f>
        <v>3735.8197137875736</v>
      </c>
      <c r="D37" s="702">
        <f ca="1">huishoudens!C12</f>
        <v>0</v>
      </c>
      <c r="E37" s="702">
        <f>huishoudens!D12</f>
        <v>7502.6472691280014</v>
      </c>
      <c r="F37" s="702">
        <f>huishoudens!E12</f>
        <v>1020.0874173191357</v>
      </c>
      <c r="G37" s="702">
        <f>huishoudens!F12</f>
        <v>3322.9189641222574</v>
      </c>
      <c r="H37" s="702">
        <f>huishoudens!G12</f>
        <v>0</v>
      </c>
      <c r="I37" s="702">
        <f>huishoudens!H12</f>
        <v>0</v>
      </c>
      <c r="J37" s="702">
        <f>huishoudens!I12</f>
        <v>0</v>
      </c>
      <c r="K37" s="702">
        <f>huishoudens!J12</f>
        <v>245.74763906935482</v>
      </c>
      <c r="L37" s="702">
        <f>huishoudens!K12</f>
        <v>0</v>
      </c>
      <c r="M37" s="702">
        <f>huishoudens!L12</f>
        <v>0</v>
      </c>
      <c r="N37" s="702">
        <f>huishoudens!M12</f>
        <v>0</v>
      </c>
      <c r="O37" s="702">
        <f>huishoudens!N12</f>
        <v>0</v>
      </c>
      <c r="P37" s="702">
        <f>huishoudens!O12</f>
        <v>0</v>
      </c>
      <c r="Q37" s="812">
        <f>huishoudens!P12</f>
        <v>0</v>
      </c>
      <c r="R37" s="905">
        <f ca="1">SUM(C37:Q37)</f>
        <v>15827.221003426323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11084.362544120173</v>
      </c>
      <c r="D39" s="702">
        <f ca="1">industrie!C22</f>
        <v>0</v>
      </c>
      <c r="E39" s="702">
        <f>industrie!D22</f>
        <v>5566.2742591280003</v>
      </c>
      <c r="F39" s="702">
        <f>industrie!E22</f>
        <v>180.75248248657928</v>
      </c>
      <c r="G39" s="702">
        <f>industrie!F22</f>
        <v>6564.4048208511567</v>
      </c>
      <c r="H39" s="702">
        <f>industrie!G22</f>
        <v>0</v>
      </c>
      <c r="I39" s="702">
        <f>industrie!H22</f>
        <v>0</v>
      </c>
      <c r="J39" s="702">
        <f>industrie!I22</f>
        <v>0</v>
      </c>
      <c r="K39" s="702">
        <f>industrie!J22</f>
        <v>162.99412033587129</v>
      </c>
      <c r="L39" s="702">
        <f>industrie!K22</f>
        <v>0</v>
      </c>
      <c r="M39" s="702">
        <f>industrie!L22</f>
        <v>0</v>
      </c>
      <c r="N39" s="702">
        <f>industrie!M22</f>
        <v>0</v>
      </c>
      <c r="O39" s="702">
        <f>industrie!N22</f>
        <v>0</v>
      </c>
      <c r="P39" s="702">
        <f>industrie!O22</f>
        <v>0</v>
      </c>
      <c r="Q39" s="812">
        <f>industrie!P22</f>
        <v>0</v>
      </c>
      <c r="R39" s="906">
        <f ca="1">SUM(C39:Q39)</f>
        <v>23558.788226921781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18527.887113989316</v>
      </c>
      <c r="D41" s="747">
        <f t="shared" ref="D41:R41" ca="1" si="4">SUM(D35:D40)</f>
        <v>11.457983193277309</v>
      </c>
      <c r="E41" s="747">
        <f t="shared" ca="1" si="4"/>
        <v>16032.395196215431</v>
      </c>
      <c r="F41" s="747">
        <f t="shared" si="4"/>
        <v>1237.9631648027382</v>
      </c>
      <c r="G41" s="747">
        <f t="shared" ca="1" si="4"/>
        <v>10553.918506555996</v>
      </c>
      <c r="H41" s="747">
        <f t="shared" si="4"/>
        <v>0</v>
      </c>
      <c r="I41" s="747">
        <f t="shared" si="4"/>
        <v>0</v>
      </c>
      <c r="J41" s="747">
        <f t="shared" si="4"/>
        <v>0</v>
      </c>
      <c r="K41" s="747">
        <f t="shared" si="4"/>
        <v>408.74175940522611</v>
      </c>
      <c r="L41" s="747">
        <f t="shared" si="4"/>
        <v>0</v>
      </c>
      <c r="M41" s="747">
        <f t="shared" ca="1" si="4"/>
        <v>0</v>
      </c>
      <c r="N41" s="747">
        <f t="shared" si="4"/>
        <v>0</v>
      </c>
      <c r="O41" s="747">
        <f t="shared" ca="1" si="4"/>
        <v>0</v>
      </c>
      <c r="P41" s="747">
        <f t="shared" si="4"/>
        <v>0</v>
      </c>
      <c r="Q41" s="748">
        <f t="shared" si="4"/>
        <v>0</v>
      </c>
      <c r="R41" s="749">
        <f t="shared" ca="1" si="4"/>
        <v>46772.363724161987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157.51086651922859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157.51086651922859</v>
      </c>
    </row>
    <row r="45" spans="1:18" ht="15" thickBot="1">
      <c r="A45" s="876" t="s">
        <v>308</v>
      </c>
      <c r="B45" s="886"/>
      <c r="C45" s="711">
        <f ca="1">transport!B18</f>
        <v>0.11011338397535844</v>
      </c>
      <c r="D45" s="711">
        <f>transport!C18</f>
        <v>0</v>
      </c>
      <c r="E45" s="711">
        <f>transport!D18</f>
        <v>0.59256011736014425</v>
      </c>
      <c r="F45" s="711">
        <f>transport!E18</f>
        <v>66.65343969910343</v>
      </c>
      <c r="G45" s="711">
        <f>transport!F18</f>
        <v>0</v>
      </c>
      <c r="H45" s="711">
        <f>transport!G18</f>
        <v>16959.051264945654</v>
      </c>
      <c r="I45" s="711">
        <f>transport!H18</f>
        <v>2414.5573518999913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19440.964730046086</v>
      </c>
    </row>
    <row r="46" spans="1:18" ht="15.75" thickBot="1">
      <c r="A46" s="874" t="s">
        <v>231</v>
      </c>
      <c r="B46" s="887"/>
      <c r="C46" s="747">
        <f t="shared" ref="C46:R46" ca="1" si="5">SUM(C43:C45)</f>
        <v>0.11011338397535844</v>
      </c>
      <c r="D46" s="747">
        <f t="shared" ca="1" si="5"/>
        <v>0</v>
      </c>
      <c r="E46" s="747">
        <f t="shared" si="5"/>
        <v>0.59256011736014425</v>
      </c>
      <c r="F46" s="747">
        <f t="shared" si="5"/>
        <v>66.65343969910343</v>
      </c>
      <c r="G46" s="747">
        <f t="shared" si="5"/>
        <v>0</v>
      </c>
      <c r="H46" s="747">
        <f t="shared" si="5"/>
        <v>17116.562131464882</v>
      </c>
      <c r="I46" s="747">
        <f t="shared" si="5"/>
        <v>2414.5573518999913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19598.475596565313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928.72542230365502</v>
      </c>
      <c r="D48" s="702">
        <f ca="1">+landbouw!C12</f>
        <v>0</v>
      </c>
      <c r="E48" s="702">
        <f>+landbouw!D12</f>
        <v>607.08587200800014</v>
      </c>
      <c r="F48" s="702">
        <f>+landbouw!E12</f>
        <v>11.007457350948769</v>
      </c>
      <c r="G48" s="702">
        <f>+landbouw!F12</f>
        <v>6349.9789046809356</v>
      </c>
      <c r="H48" s="702">
        <f>+landbouw!G12</f>
        <v>0</v>
      </c>
      <c r="I48" s="702">
        <f>+landbouw!H12</f>
        <v>0</v>
      </c>
      <c r="J48" s="702">
        <f>+landbouw!I12</f>
        <v>0</v>
      </c>
      <c r="K48" s="702">
        <f>+landbouw!J12</f>
        <v>146.39318239709937</v>
      </c>
      <c r="L48" s="702">
        <f>+landbouw!K12</f>
        <v>0</v>
      </c>
      <c r="M48" s="702">
        <f>+landbouw!L12</f>
        <v>0</v>
      </c>
      <c r="N48" s="702">
        <f>+landbouw!M12</f>
        <v>0</v>
      </c>
      <c r="O48" s="702">
        <f>+landbouw!N12</f>
        <v>0</v>
      </c>
      <c r="P48" s="702">
        <f>+landbouw!O12</f>
        <v>0</v>
      </c>
      <c r="Q48" s="703">
        <f>+landbouw!P12</f>
        <v>0</v>
      </c>
      <c r="R48" s="745">
        <f ca="1">SUM(C48:Q48)</f>
        <v>8043.1908387406393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19456.722649676947</v>
      </c>
      <c r="D53" s="757">
        <f t="shared" ref="D53:Q53" ca="1" si="6">D41+D46+D48</f>
        <v>11.457983193277309</v>
      </c>
      <c r="E53" s="757">
        <f t="shared" ca="1" si="6"/>
        <v>16640.073628340793</v>
      </c>
      <c r="F53" s="757">
        <f t="shared" si="6"/>
        <v>1315.6240618527904</v>
      </c>
      <c r="G53" s="757">
        <f t="shared" ca="1" si="6"/>
        <v>16903.897411236932</v>
      </c>
      <c r="H53" s="757">
        <f t="shared" si="6"/>
        <v>17116.562131464882</v>
      </c>
      <c r="I53" s="757">
        <f t="shared" si="6"/>
        <v>2414.5573518999913</v>
      </c>
      <c r="J53" s="757">
        <f t="shared" si="6"/>
        <v>0</v>
      </c>
      <c r="K53" s="757">
        <f t="shared" si="6"/>
        <v>555.13494180232544</v>
      </c>
      <c r="L53" s="757">
        <f t="shared" si="6"/>
        <v>0</v>
      </c>
      <c r="M53" s="757">
        <f t="shared" ca="1" si="6"/>
        <v>0</v>
      </c>
      <c r="N53" s="757">
        <f t="shared" si="6"/>
        <v>0</v>
      </c>
      <c r="O53" s="757">
        <f t="shared" ca="1" si="6"/>
        <v>0</v>
      </c>
      <c r="P53" s="757">
        <f>P41+P46+P48</f>
        <v>0</v>
      </c>
      <c r="Q53" s="758">
        <f t="shared" si="6"/>
        <v>0</v>
      </c>
      <c r="R53" s="759">
        <f ca="1">R41+R46+R48</f>
        <v>74414.030159467948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0.20056945357143041</v>
      </c>
      <c r="D55" s="823">
        <f t="shared" ca="1" si="7"/>
        <v>1.6634185171968926E-3</v>
      </c>
      <c r="E55" s="823">
        <f t="shared" ca="1" si="7"/>
        <v>0.20200000000000007</v>
      </c>
      <c r="F55" s="823">
        <f t="shared" si="7"/>
        <v>0.22699999999999995</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4182.4804274219896</v>
      </c>
      <c r="C66" s="779">
        <f>'lokale energieproductie'!B6</f>
        <v>4182.4804274219896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4821.75</v>
      </c>
      <c r="C67" s="778">
        <f>B67*IFERROR(SUM(J67:L67)/SUM(D67:M67),0)</f>
        <v>4788</v>
      </c>
      <c r="D67" s="810">
        <f>'lokale energieproductie'!C7</f>
        <v>39.705882352941174</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5632.9411764705883</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8.0205882352941185</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9004.2304274219896</v>
      </c>
      <c r="C69" s="787">
        <f>SUM(C64:C68)</f>
        <v>8970.4804274219896</v>
      </c>
      <c r="D69" s="788">
        <f t="shared" ref="D69:M69" si="8">SUM(D67:D68)</f>
        <v>39.705882352941174</v>
      </c>
      <c r="E69" s="788">
        <f t="shared" si="8"/>
        <v>0</v>
      </c>
      <c r="F69" s="788">
        <f t="shared" si="8"/>
        <v>0</v>
      </c>
      <c r="G69" s="788">
        <f t="shared" si="8"/>
        <v>0</v>
      </c>
      <c r="H69" s="788">
        <f t="shared" si="8"/>
        <v>0</v>
      </c>
      <c r="I69" s="788">
        <f t="shared" si="8"/>
        <v>0</v>
      </c>
      <c r="J69" s="788">
        <f t="shared" si="8"/>
        <v>0</v>
      </c>
      <c r="K69" s="788">
        <f t="shared" si="8"/>
        <v>5632.9411764705883</v>
      </c>
      <c r="L69" s="788">
        <f t="shared" si="8"/>
        <v>0</v>
      </c>
      <c r="M69" s="918">
        <f t="shared" si="8"/>
        <v>0</v>
      </c>
      <c r="N69" s="789">
        <v>0</v>
      </c>
      <c r="O69" s="789">
        <f>SUM(O67:O68)</f>
        <v>8.0205882352941185</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6888.2142857142853</v>
      </c>
      <c r="C78" s="801">
        <f>B78*IFERROR(SUM(I78:L78)/SUM(D78:M78),0)</f>
        <v>6840</v>
      </c>
      <c r="D78" s="816">
        <f>'lokale energieproductie'!C16</f>
        <v>56.722689075630242</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8047.0588235294108</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11.457983193277309</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6888.2142857142853</v>
      </c>
      <c r="C81" s="787">
        <f>SUM(C78:C80)</f>
        <v>6840</v>
      </c>
      <c r="D81" s="787">
        <f t="shared" ref="D81:P81" si="9">SUM(D78:D80)</f>
        <v>56.722689075630242</v>
      </c>
      <c r="E81" s="787">
        <f t="shared" si="9"/>
        <v>0</v>
      </c>
      <c r="F81" s="787">
        <f t="shared" si="9"/>
        <v>0</v>
      </c>
      <c r="G81" s="787">
        <f t="shared" si="9"/>
        <v>0</v>
      </c>
      <c r="H81" s="787">
        <f t="shared" si="9"/>
        <v>0</v>
      </c>
      <c r="I81" s="787">
        <f t="shared" si="9"/>
        <v>0</v>
      </c>
      <c r="J81" s="787">
        <f t="shared" si="9"/>
        <v>0</v>
      </c>
      <c r="K81" s="787">
        <f t="shared" si="9"/>
        <v>8047.0588235294108</v>
      </c>
      <c r="L81" s="787">
        <f t="shared" si="9"/>
        <v>0</v>
      </c>
      <c r="M81" s="787">
        <f t="shared" si="9"/>
        <v>0</v>
      </c>
      <c r="N81" s="787">
        <v>0</v>
      </c>
      <c r="O81" s="787">
        <f>SUM(O78:O80)</f>
        <v>11.457983193277309</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18626.065172267652</v>
      </c>
      <c r="C4" s="461">
        <f>huishoudens!C8</f>
        <v>0</v>
      </c>
      <c r="D4" s="461">
        <f>huishoudens!D8</f>
        <v>37141.818164000004</v>
      </c>
      <c r="E4" s="461">
        <f>huishoudens!E8</f>
        <v>4493.7771688067651</v>
      </c>
      <c r="F4" s="461">
        <f>huishoudens!F8</f>
        <v>12445.389378735046</v>
      </c>
      <c r="G4" s="461">
        <f>huishoudens!G8</f>
        <v>0</v>
      </c>
      <c r="H4" s="461">
        <f>huishoudens!H8</f>
        <v>0</v>
      </c>
      <c r="I4" s="461">
        <f>huishoudens!I8</f>
        <v>0</v>
      </c>
      <c r="J4" s="461">
        <f>huishoudens!J8</f>
        <v>694.20237025241477</v>
      </c>
      <c r="K4" s="461">
        <f>huishoudens!K8</f>
        <v>0</v>
      </c>
      <c r="L4" s="461">
        <f>huishoudens!L8</f>
        <v>0</v>
      </c>
      <c r="M4" s="461">
        <f>huishoudens!M8</f>
        <v>0</v>
      </c>
      <c r="N4" s="461">
        <f>huishoudens!N8</f>
        <v>10244.030018619585</v>
      </c>
      <c r="O4" s="461">
        <f>huishoudens!O8</f>
        <v>53.153333333333336</v>
      </c>
      <c r="P4" s="462">
        <f>huishoudens!P8</f>
        <v>209.73333333333335</v>
      </c>
      <c r="Q4" s="463">
        <f>SUM(B4:P4)</f>
        <v>83908.168939348136</v>
      </c>
    </row>
    <row r="5" spans="1:17">
      <c r="A5" s="460" t="s">
        <v>156</v>
      </c>
      <c r="B5" s="461">
        <f ca="1">tertiair!B16</f>
        <v>17468.311000000002</v>
      </c>
      <c r="C5" s="461">
        <f ca="1">tertiair!C16</f>
        <v>6888.2142857142853</v>
      </c>
      <c r="D5" s="461">
        <f ca="1">tertiair!D16</f>
        <v>14670.661722571429</v>
      </c>
      <c r="E5" s="461">
        <f>tertiair!E16</f>
        <v>163.53861232168822</v>
      </c>
      <c r="F5" s="461">
        <f ca="1">tertiair!F16</f>
        <v>2496.6094441295195</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95.333333333333343</v>
      </c>
      <c r="Q5" s="460">
        <f t="shared" ref="Q5:Q13" ca="1" si="0">SUM(B5:P5)</f>
        <v>41782.668398070266</v>
      </c>
    </row>
    <row r="6" spans="1:17">
      <c r="A6" s="460" t="s">
        <v>195</v>
      </c>
      <c r="B6" s="461">
        <f>'openbare verlichting'!B8</f>
        <v>1017.579</v>
      </c>
      <c r="C6" s="461"/>
      <c r="D6" s="461"/>
      <c r="E6" s="461"/>
      <c r="F6" s="461"/>
      <c r="G6" s="461"/>
      <c r="H6" s="461"/>
      <c r="I6" s="461"/>
      <c r="J6" s="461"/>
      <c r="K6" s="461"/>
      <c r="L6" s="461"/>
      <c r="M6" s="461"/>
      <c r="N6" s="461"/>
      <c r="O6" s="461"/>
      <c r="P6" s="462"/>
      <c r="Q6" s="460">
        <f t="shared" si="0"/>
        <v>1017.579</v>
      </c>
    </row>
    <row r="7" spans="1:17">
      <c r="A7" s="460" t="s">
        <v>112</v>
      </c>
      <c r="B7" s="461">
        <f>landbouw!B8</f>
        <v>4630.4430000000002</v>
      </c>
      <c r="C7" s="461">
        <f>landbouw!C8</f>
        <v>0</v>
      </c>
      <c r="D7" s="461">
        <f>landbouw!D8</f>
        <v>3005.3756040000003</v>
      </c>
      <c r="E7" s="461">
        <f>landbouw!E8</f>
        <v>48.491001546029821</v>
      </c>
      <c r="F7" s="461">
        <f>landbouw!F8</f>
        <v>23782.692526894887</v>
      </c>
      <c r="G7" s="461">
        <f>landbouw!G8</f>
        <v>0</v>
      </c>
      <c r="H7" s="461">
        <f>landbouw!H8</f>
        <v>0</v>
      </c>
      <c r="I7" s="461">
        <f>landbouw!I8</f>
        <v>0</v>
      </c>
      <c r="J7" s="461">
        <f>landbouw!J8</f>
        <v>413.54006326864231</v>
      </c>
      <c r="K7" s="461">
        <f>landbouw!K8</f>
        <v>0</v>
      </c>
      <c r="L7" s="461">
        <f>landbouw!L8</f>
        <v>0</v>
      </c>
      <c r="M7" s="461">
        <f>landbouw!M8</f>
        <v>0</v>
      </c>
      <c r="N7" s="461">
        <f>landbouw!N8</f>
        <v>0</v>
      </c>
      <c r="O7" s="461">
        <f>landbouw!O8</f>
        <v>0</v>
      </c>
      <c r="P7" s="462">
        <f>landbouw!P8</f>
        <v>0</v>
      </c>
      <c r="Q7" s="460">
        <f t="shared" si="0"/>
        <v>31880.54219570956</v>
      </c>
    </row>
    <row r="8" spans="1:17">
      <c r="A8" s="460" t="s">
        <v>656</v>
      </c>
      <c r="B8" s="461">
        <f>industrie!B18</f>
        <v>55264.46</v>
      </c>
      <c r="C8" s="461">
        <f>industrie!C18</f>
        <v>0</v>
      </c>
      <c r="D8" s="461">
        <f>industrie!D18</f>
        <v>27555.813163999999</v>
      </c>
      <c r="E8" s="461">
        <f>industrie!E18</f>
        <v>796.26644267215545</v>
      </c>
      <c r="F8" s="461">
        <f>industrie!F18</f>
        <v>24585.785845884482</v>
      </c>
      <c r="G8" s="461">
        <f>industrie!G18</f>
        <v>0</v>
      </c>
      <c r="H8" s="461">
        <f>industrie!H18</f>
        <v>0</v>
      </c>
      <c r="I8" s="461">
        <f>industrie!I18</f>
        <v>0</v>
      </c>
      <c r="J8" s="461">
        <f>industrie!J18</f>
        <v>460.43536818042736</v>
      </c>
      <c r="K8" s="461">
        <f>industrie!K18</f>
        <v>0</v>
      </c>
      <c r="L8" s="461">
        <f>industrie!L18</f>
        <v>0</v>
      </c>
      <c r="M8" s="461">
        <f>industrie!M18</f>
        <v>0</v>
      </c>
      <c r="N8" s="461">
        <f>industrie!N18</f>
        <v>2058.2425096526213</v>
      </c>
      <c r="O8" s="461">
        <f>industrie!O18</f>
        <v>0</v>
      </c>
      <c r="P8" s="462">
        <f>industrie!P18</f>
        <v>0</v>
      </c>
      <c r="Q8" s="460">
        <f t="shared" si="0"/>
        <v>110721.00333038969</v>
      </c>
    </row>
    <row r="9" spans="1:17" s="466" customFormat="1">
      <c r="A9" s="464" t="s">
        <v>574</v>
      </c>
      <c r="B9" s="465">
        <f>transport!B14</f>
        <v>0.54900375911999422</v>
      </c>
      <c r="C9" s="465">
        <f>transport!C14</f>
        <v>0</v>
      </c>
      <c r="D9" s="465">
        <f>transport!D14</f>
        <v>2.9334659275254662</v>
      </c>
      <c r="E9" s="465">
        <f>transport!E14</f>
        <v>293.62748766124861</v>
      </c>
      <c r="F9" s="465">
        <f>transport!F14</f>
        <v>0</v>
      </c>
      <c r="G9" s="465">
        <f>transport!G14</f>
        <v>63517.045936126036</v>
      </c>
      <c r="H9" s="465">
        <f>transport!H14</f>
        <v>9697.0174775100058</v>
      </c>
      <c r="I9" s="465">
        <f>transport!I14</f>
        <v>0</v>
      </c>
      <c r="J9" s="465">
        <f>transport!J14</f>
        <v>0</v>
      </c>
      <c r="K9" s="465">
        <f>transport!K14</f>
        <v>0</v>
      </c>
      <c r="L9" s="465">
        <f>transport!L14</f>
        <v>0</v>
      </c>
      <c r="M9" s="465">
        <f>transport!M14</f>
        <v>3191.4450685111328</v>
      </c>
      <c r="N9" s="465">
        <f>transport!N14</f>
        <v>0</v>
      </c>
      <c r="O9" s="465">
        <f>transport!O14</f>
        <v>0</v>
      </c>
      <c r="P9" s="465">
        <f>transport!P14</f>
        <v>0</v>
      </c>
      <c r="Q9" s="464">
        <f>SUM(B9:P9)</f>
        <v>76702.618439495069</v>
      </c>
    </row>
    <row r="10" spans="1:17">
      <c r="A10" s="460" t="s">
        <v>564</v>
      </c>
      <c r="B10" s="461">
        <f>transport!B54</f>
        <v>0</v>
      </c>
      <c r="C10" s="461">
        <f>transport!C54</f>
        <v>0</v>
      </c>
      <c r="D10" s="461">
        <f>transport!D54</f>
        <v>0</v>
      </c>
      <c r="E10" s="461">
        <f>transport!E54</f>
        <v>0</v>
      </c>
      <c r="F10" s="461">
        <f>transport!F54</f>
        <v>0</v>
      </c>
      <c r="G10" s="461">
        <f>transport!G54</f>
        <v>589.92833902332802</v>
      </c>
      <c r="H10" s="461">
        <f>transport!H54</f>
        <v>0</v>
      </c>
      <c r="I10" s="461">
        <f>transport!I54</f>
        <v>0</v>
      </c>
      <c r="J10" s="461">
        <f>transport!J54</f>
        <v>0</v>
      </c>
      <c r="K10" s="461">
        <f>transport!K54</f>
        <v>0</v>
      </c>
      <c r="L10" s="461">
        <f>transport!L54</f>
        <v>0</v>
      </c>
      <c r="M10" s="461">
        <f>transport!M54</f>
        <v>25.146082162719498</v>
      </c>
      <c r="N10" s="461">
        <f>transport!N54</f>
        <v>0</v>
      </c>
      <c r="O10" s="461">
        <f>transport!O54</f>
        <v>0</v>
      </c>
      <c r="P10" s="462">
        <f>transport!P54</f>
        <v>0</v>
      </c>
      <c r="Q10" s="460">
        <f t="shared" si="0"/>
        <v>615.07442118604752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97007.407176026769</v>
      </c>
      <c r="C14" s="471">
        <f t="shared" ref="C14:Q14" ca="1" si="1">SUM(C4:C13)</f>
        <v>6888.2142857142853</v>
      </c>
      <c r="D14" s="471">
        <f t="shared" ca="1" si="1"/>
        <v>82376.602120498952</v>
      </c>
      <c r="E14" s="471">
        <f t="shared" si="1"/>
        <v>5795.7007130078882</v>
      </c>
      <c r="F14" s="471">
        <f t="shared" ca="1" si="1"/>
        <v>63310.477195643936</v>
      </c>
      <c r="G14" s="471">
        <f t="shared" si="1"/>
        <v>64106.974275149361</v>
      </c>
      <c r="H14" s="471">
        <f t="shared" si="1"/>
        <v>9697.0174775100058</v>
      </c>
      <c r="I14" s="471">
        <f t="shared" si="1"/>
        <v>0</v>
      </c>
      <c r="J14" s="471">
        <f t="shared" si="1"/>
        <v>1568.1778017014844</v>
      </c>
      <c r="K14" s="471">
        <f t="shared" si="1"/>
        <v>0</v>
      </c>
      <c r="L14" s="471">
        <f t="shared" ca="1" si="1"/>
        <v>0</v>
      </c>
      <c r="M14" s="471">
        <f t="shared" si="1"/>
        <v>3216.5911506738526</v>
      </c>
      <c r="N14" s="471">
        <f t="shared" ca="1" si="1"/>
        <v>12302.272528272206</v>
      </c>
      <c r="O14" s="471">
        <f t="shared" si="1"/>
        <v>53.153333333333336</v>
      </c>
      <c r="P14" s="472">
        <f t="shared" si="1"/>
        <v>305.06666666666672</v>
      </c>
      <c r="Q14" s="472">
        <f t="shared" ca="1" si="1"/>
        <v>346627.6547241988</v>
      </c>
    </row>
    <row r="16" spans="1:17">
      <c r="A16" s="474" t="s">
        <v>569</v>
      </c>
      <c r="B16" s="828">
        <f ca="1">huishoudens!B10</f>
        <v>0.20056945357143041</v>
      </c>
      <c r="C16" s="828">
        <f ca="1">huishoudens!C10</f>
        <v>1.6634185171968926E-3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3735.8197137875736</v>
      </c>
      <c r="C21" s="461">
        <f t="shared" ref="C21:C30" ca="1" si="3">C4*$C$16</f>
        <v>0</v>
      </c>
      <c r="D21" s="461">
        <f t="shared" ref="D21:D30" si="4">D4*$D$16</f>
        <v>7502.6472691280014</v>
      </c>
      <c r="E21" s="461">
        <f t="shared" ref="E21:E30" si="5">E4*$E$16</f>
        <v>1020.0874173191357</v>
      </c>
      <c r="F21" s="461">
        <f t="shared" ref="F21:F30" si="6">F4*$F$16</f>
        <v>3322.9189641222574</v>
      </c>
      <c r="G21" s="461">
        <f t="shared" ref="G21:G30" si="7">G4*$G$16</f>
        <v>0</v>
      </c>
      <c r="H21" s="461">
        <f t="shared" ref="H21:H30" si="8">H4*$H$16</f>
        <v>0</v>
      </c>
      <c r="I21" s="461">
        <f t="shared" ref="I21:I30" si="9">I4*$I$16</f>
        <v>0</v>
      </c>
      <c r="J21" s="461">
        <f t="shared" ref="J21:J30" si="10">J4*$J$16</f>
        <v>245.74763906935482</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15827.221003426323</v>
      </c>
    </row>
    <row r="22" spans="1:17">
      <c r="A22" s="460" t="s">
        <v>156</v>
      </c>
      <c r="B22" s="461">
        <f t="shared" ca="1" si="2"/>
        <v>3503.6095920858074</v>
      </c>
      <c r="C22" s="461">
        <f t="shared" ca="1" si="3"/>
        <v>11.457983193277309</v>
      </c>
      <c r="D22" s="461">
        <f t="shared" ca="1" si="4"/>
        <v>2963.4736679594289</v>
      </c>
      <c r="E22" s="461">
        <f t="shared" si="5"/>
        <v>37.123264997023227</v>
      </c>
      <c r="F22" s="461">
        <f t="shared" ca="1" si="6"/>
        <v>666.59472158258177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7182.2592298181189</v>
      </c>
    </row>
    <row r="23" spans="1:17">
      <c r="A23" s="460" t="s">
        <v>195</v>
      </c>
      <c r="B23" s="461">
        <f t="shared" ca="1" si="2"/>
        <v>204.09526399576256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204.09526399576256</v>
      </c>
    </row>
    <row r="24" spans="1:17">
      <c r="A24" s="460" t="s">
        <v>112</v>
      </c>
      <c r="B24" s="461">
        <f t="shared" ca="1" si="2"/>
        <v>928.72542230365502</v>
      </c>
      <c r="C24" s="461">
        <f t="shared" ca="1" si="3"/>
        <v>0</v>
      </c>
      <c r="D24" s="461">
        <f t="shared" si="4"/>
        <v>607.08587200800014</v>
      </c>
      <c r="E24" s="461">
        <f t="shared" si="5"/>
        <v>11.007457350948769</v>
      </c>
      <c r="F24" s="461">
        <f t="shared" si="6"/>
        <v>6349.9789046809356</v>
      </c>
      <c r="G24" s="461">
        <f t="shared" si="7"/>
        <v>0</v>
      </c>
      <c r="H24" s="461">
        <f t="shared" si="8"/>
        <v>0</v>
      </c>
      <c r="I24" s="461">
        <f t="shared" si="9"/>
        <v>0</v>
      </c>
      <c r="J24" s="461">
        <f t="shared" si="10"/>
        <v>146.39318239709937</v>
      </c>
      <c r="K24" s="461">
        <f t="shared" si="11"/>
        <v>0</v>
      </c>
      <c r="L24" s="461">
        <f t="shared" si="12"/>
        <v>0</v>
      </c>
      <c r="M24" s="461">
        <f t="shared" si="13"/>
        <v>0</v>
      </c>
      <c r="N24" s="461">
        <f t="shared" si="14"/>
        <v>0</v>
      </c>
      <c r="O24" s="461">
        <f t="shared" si="15"/>
        <v>0</v>
      </c>
      <c r="P24" s="462">
        <f t="shared" si="16"/>
        <v>0</v>
      </c>
      <c r="Q24" s="460">
        <f t="shared" ca="1" si="17"/>
        <v>8043.1908387406393</v>
      </c>
    </row>
    <row r="25" spans="1:17">
      <c r="A25" s="460" t="s">
        <v>656</v>
      </c>
      <c r="B25" s="461">
        <f t="shared" ca="1" si="2"/>
        <v>11084.362544120173</v>
      </c>
      <c r="C25" s="461">
        <f t="shared" ca="1" si="3"/>
        <v>0</v>
      </c>
      <c r="D25" s="461">
        <f t="shared" si="4"/>
        <v>5566.2742591280003</v>
      </c>
      <c r="E25" s="461">
        <f t="shared" si="5"/>
        <v>180.75248248657928</v>
      </c>
      <c r="F25" s="461">
        <f t="shared" si="6"/>
        <v>6564.4048208511567</v>
      </c>
      <c r="G25" s="461">
        <f t="shared" si="7"/>
        <v>0</v>
      </c>
      <c r="H25" s="461">
        <f t="shared" si="8"/>
        <v>0</v>
      </c>
      <c r="I25" s="461">
        <f t="shared" si="9"/>
        <v>0</v>
      </c>
      <c r="J25" s="461">
        <f t="shared" si="10"/>
        <v>162.99412033587129</v>
      </c>
      <c r="K25" s="461">
        <f t="shared" si="11"/>
        <v>0</v>
      </c>
      <c r="L25" s="461">
        <f t="shared" si="12"/>
        <v>0</v>
      </c>
      <c r="M25" s="461">
        <f t="shared" si="13"/>
        <v>0</v>
      </c>
      <c r="N25" s="461">
        <f t="shared" si="14"/>
        <v>0</v>
      </c>
      <c r="O25" s="461">
        <f t="shared" si="15"/>
        <v>0</v>
      </c>
      <c r="P25" s="462">
        <f t="shared" si="16"/>
        <v>0</v>
      </c>
      <c r="Q25" s="460">
        <f t="shared" ca="1" si="17"/>
        <v>23558.788226921781</v>
      </c>
    </row>
    <row r="26" spans="1:17" s="466" customFormat="1">
      <c r="A26" s="464" t="s">
        <v>574</v>
      </c>
      <c r="B26" s="822">
        <f t="shared" ca="1" si="2"/>
        <v>0.11011338397535844</v>
      </c>
      <c r="C26" s="465">
        <f t="shared" ca="1" si="3"/>
        <v>0</v>
      </c>
      <c r="D26" s="465">
        <f t="shared" si="4"/>
        <v>0.59256011736014425</v>
      </c>
      <c r="E26" s="465">
        <f t="shared" si="5"/>
        <v>66.65343969910343</v>
      </c>
      <c r="F26" s="465">
        <f t="shared" si="6"/>
        <v>0</v>
      </c>
      <c r="G26" s="465">
        <f t="shared" si="7"/>
        <v>16959.051264945654</v>
      </c>
      <c r="H26" s="465">
        <f t="shared" si="8"/>
        <v>2414.5573518999913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19440.964730046086</v>
      </c>
    </row>
    <row r="27" spans="1:17">
      <c r="A27" s="460" t="s">
        <v>564</v>
      </c>
      <c r="B27" s="461">
        <f t="shared" ca="1" si="2"/>
        <v>0</v>
      </c>
      <c r="C27" s="461">
        <f t="shared" ca="1" si="3"/>
        <v>0</v>
      </c>
      <c r="D27" s="461">
        <f t="shared" si="4"/>
        <v>0</v>
      </c>
      <c r="E27" s="461">
        <f t="shared" si="5"/>
        <v>0</v>
      </c>
      <c r="F27" s="461">
        <f t="shared" si="6"/>
        <v>0</v>
      </c>
      <c r="G27" s="461">
        <f t="shared" si="7"/>
        <v>157.51086651922859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157.51086651922859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19456.722649676947</v>
      </c>
      <c r="C31" s="471">
        <f t="shared" ca="1" si="18"/>
        <v>11.457983193277309</v>
      </c>
      <c r="D31" s="471">
        <f t="shared" ca="1" si="18"/>
        <v>16640.07362834079</v>
      </c>
      <c r="E31" s="471">
        <f t="shared" si="18"/>
        <v>1315.6240618527904</v>
      </c>
      <c r="F31" s="471">
        <f t="shared" ca="1" si="18"/>
        <v>16903.897411236932</v>
      </c>
      <c r="G31" s="471">
        <f t="shared" si="18"/>
        <v>17116.562131464882</v>
      </c>
      <c r="H31" s="471">
        <f t="shared" si="18"/>
        <v>2414.5573518999913</v>
      </c>
      <c r="I31" s="471">
        <f t="shared" si="18"/>
        <v>0</v>
      </c>
      <c r="J31" s="471">
        <f t="shared" si="18"/>
        <v>555.13494180232556</v>
      </c>
      <c r="K31" s="471">
        <f t="shared" si="18"/>
        <v>0</v>
      </c>
      <c r="L31" s="471">
        <f t="shared" ca="1" si="18"/>
        <v>0</v>
      </c>
      <c r="M31" s="471">
        <f t="shared" si="18"/>
        <v>0</v>
      </c>
      <c r="N31" s="471">
        <f t="shared" ca="1" si="18"/>
        <v>0</v>
      </c>
      <c r="O31" s="471">
        <f t="shared" si="18"/>
        <v>0</v>
      </c>
      <c r="P31" s="472">
        <f t="shared" si="18"/>
        <v>0</v>
      </c>
      <c r="Q31" s="472">
        <f t="shared" ca="1" si="18"/>
        <v>74414.030159467933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0.20056945357143041</v>
      </c>
      <c r="C17" s="511">
        <f ca="1">'EF ele_warmte'!B22</f>
        <v>1.6634185171968926E-3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0.20056945357143041</v>
      </c>
      <c r="C17" s="511">
        <f ca="1">'EF ele_warmte'!B22</f>
        <v>1.6634185171968926E-3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0.20056945357143041</v>
      </c>
      <c r="C29" s="512">
        <f ca="1">'EF ele_warmte'!B22</f>
        <v>1.6634185171968926E-3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36006</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3821</v>
      </c>
      <c r="C9" s="336">
        <v>4009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2665</v>
      </c>
    </row>
    <row r="15" spans="1:6">
      <c r="A15" s="1194" t="s">
        <v>185</v>
      </c>
      <c r="B15" s="333">
        <v>24</v>
      </c>
    </row>
    <row r="16" spans="1:6">
      <c r="A16" s="1194" t="s">
        <v>6</v>
      </c>
      <c r="B16" s="333">
        <v>710</v>
      </c>
    </row>
    <row r="17" spans="1:6">
      <c r="A17" s="1194" t="s">
        <v>7</v>
      </c>
      <c r="B17" s="333">
        <v>686</v>
      </c>
    </row>
    <row r="18" spans="1:6">
      <c r="A18" s="1194" t="s">
        <v>8</v>
      </c>
      <c r="B18" s="333">
        <v>824</v>
      </c>
    </row>
    <row r="19" spans="1:6">
      <c r="A19" s="1194" t="s">
        <v>9</v>
      </c>
      <c r="B19" s="333">
        <v>832</v>
      </c>
    </row>
    <row r="20" spans="1:6">
      <c r="A20" s="1194" t="s">
        <v>10</v>
      </c>
      <c r="B20" s="333">
        <v>697</v>
      </c>
    </row>
    <row r="21" spans="1:6">
      <c r="A21" s="1194" t="s">
        <v>11</v>
      </c>
      <c r="B21" s="333">
        <v>20564</v>
      </c>
    </row>
    <row r="22" spans="1:6">
      <c r="A22" s="1194" t="s">
        <v>12</v>
      </c>
      <c r="B22" s="333">
        <v>61162</v>
      </c>
    </row>
    <row r="23" spans="1:6">
      <c r="A23" s="1194" t="s">
        <v>13</v>
      </c>
      <c r="B23" s="333">
        <v>999</v>
      </c>
    </row>
    <row r="24" spans="1:6">
      <c r="A24" s="1194" t="s">
        <v>14</v>
      </c>
      <c r="B24" s="333">
        <v>55</v>
      </c>
    </row>
    <row r="25" spans="1:6">
      <c r="A25" s="1194" t="s">
        <v>15</v>
      </c>
      <c r="B25" s="333">
        <v>6534</v>
      </c>
    </row>
    <row r="26" spans="1:6">
      <c r="A26" s="1194" t="s">
        <v>16</v>
      </c>
      <c r="B26" s="333">
        <v>382</v>
      </c>
    </row>
    <row r="27" spans="1:6">
      <c r="A27" s="1194" t="s">
        <v>17</v>
      </c>
      <c r="B27" s="333">
        <v>2</v>
      </c>
    </row>
    <row r="28" spans="1:6">
      <c r="A28" s="1194" t="s">
        <v>18</v>
      </c>
      <c r="B28" s="333">
        <v>51283</v>
      </c>
    </row>
    <row r="29" spans="1:6">
      <c r="A29" s="1194" t="s">
        <v>888</v>
      </c>
      <c r="B29" s="333">
        <v>168</v>
      </c>
    </row>
    <row r="30" spans="1:6">
      <c r="A30" s="1190" t="s">
        <v>889</v>
      </c>
      <c r="B30" s="1190">
        <v>25</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154718</v>
      </c>
    </row>
    <row r="39" spans="1:6">
      <c r="A39" s="1194" t="s">
        <v>30</v>
      </c>
      <c r="B39" s="1194" t="s">
        <v>31</v>
      </c>
      <c r="C39" s="333">
        <v>2338</v>
      </c>
      <c r="D39" s="333">
        <v>41177182</v>
      </c>
      <c r="E39" s="333">
        <v>3665</v>
      </c>
      <c r="F39" s="333">
        <v>17028694</v>
      </c>
    </row>
    <row r="40" spans="1:6">
      <c r="A40" s="1194" t="s">
        <v>30</v>
      </c>
      <c r="B40" s="1194" t="s">
        <v>29</v>
      </c>
      <c r="C40" s="333">
        <v>0</v>
      </c>
      <c r="D40" s="333">
        <v>0</v>
      </c>
      <c r="E40" s="333">
        <v>0</v>
      </c>
      <c r="F40" s="333">
        <v>0</v>
      </c>
    </row>
    <row r="41" spans="1:6">
      <c r="A41" s="1194" t="s">
        <v>32</v>
      </c>
      <c r="B41" s="1194" t="s">
        <v>33</v>
      </c>
      <c r="C41" s="333">
        <v>33</v>
      </c>
      <c r="D41" s="333">
        <v>1030073</v>
      </c>
      <c r="E41" s="333">
        <v>91</v>
      </c>
      <c r="F41" s="333">
        <v>26575305</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4</v>
      </c>
      <c r="D44" s="333">
        <v>12647328</v>
      </c>
      <c r="E44" s="333">
        <v>23</v>
      </c>
      <c r="F44" s="333">
        <v>22112193</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3</v>
      </c>
      <c r="D47" s="333">
        <v>12214088</v>
      </c>
      <c r="E47" s="333">
        <v>3</v>
      </c>
      <c r="F47" s="333">
        <v>6215685</v>
      </c>
    </row>
    <row r="48" spans="1:6">
      <c r="A48" s="1194" t="s">
        <v>32</v>
      </c>
      <c r="B48" s="1194" t="s">
        <v>29</v>
      </c>
      <c r="C48" s="333">
        <v>1</v>
      </c>
      <c r="D48" s="333">
        <v>4297437</v>
      </c>
      <c r="E48" s="333">
        <v>3</v>
      </c>
      <c r="F48" s="333">
        <v>125572</v>
      </c>
    </row>
    <row r="49" spans="1:6">
      <c r="A49" s="1194" t="s">
        <v>32</v>
      </c>
      <c r="B49" s="1194" t="s">
        <v>40</v>
      </c>
      <c r="C49" s="333">
        <v>0</v>
      </c>
      <c r="D49" s="333">
        <v>0</v>
      </c>
      <c r="E49" s="333">
        <v>0</v>
      </c>
      <c r="F49" s="333">
        <v>0</v>
      </c>
    </row>
    <row r="50" spans="1:6">
      <c r="A50" s="1194" t="s">
        <v>32</v>
      </c>
      <c r="B50" s="1194" t="s">
        <v>41</v>
      </c>
      <c r="C50" s="333">
        <v>8</v>
      </c>
      <c r="D50" s="333">
        <v>360756</v>
      </c>
      <c r="E50" s="333">
        <v>10</v>
      </c>
      <c r="F50" s="333">
        <v>235705</v>
      </c>
    </row>
    <row r="51" spans="1:6">
      <c r="A51" s="1194" t="s">
        <v>42</v>
      </c>
      <c r="B51" s="1194" t="s">
        <v>43</v>
      </c>
      <c r="C51" s="333">
        <v>25</v>
      </c>
      <c r="D51" s="333">
        <v>3331902</v>
      </c>
      <c r="E51" s="333">
        <v>175</v>
      </c>
      <c r="F51" s="333">
        <v>4630443</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44</v>
      </c>
      <c r="F54" s="333">
        <v>1017579</v>
      </c>
    </row>
    <row r="55" spans="1:6">
      <c r="A55" s="1194" t="s">
        <v>46</v>
      </c>
      <c r="B55" s="1194" t="s">
        <v>29</v>
      </c>
      <c r="C55" s="333">
        <v>0</v>
      </c>
      <c r="D55" s="333">
        <v>0</v>
      </c>
      <c r="E55" s="333">
        <v>0</v>
      </c>
      <c r="F55" s="333">
        <v>0</v>
      </c>
    </row>
    <row r="56" spans="1:6">
      <c r="A56" s="1194" t="s">
        <v>48</v>
      </c>
      <c r="B56" s="1194" t="s">
        <v>29</v>
      </c>
      <c r="C56" s="333">
        <v>20</v>
      </c>
      <c r="D56" s="333">
        <v>489694</v>
      </c>
      <c r="E56" s="333">
        <v>69</v>
      </c>
      <c r="F56" s="333">
        <v>1035161</v>
      </c>
    </row>
    <row r="57" spans="1:6">
      <c r="A57" s="1194" t="s">
        <v>49</v>
      </c>
      <c r="B57" s="1194" t="s">
        <v>50</v>
      </c>
      <c r="C57" s="333">
        <v>44</v>
      </c>
      <c r="D57" s="333">
        <v>1920400</v>
      </c>
      <c r="E57" s="333">
        <v>76</v>
      </c>
      <c r="F57" s="333">
        <v>2103126</v>
      </c>
    </row>
    <row r="58" spans="1:6">
      <c r="A58" s="1194" t="s">
        <v>49</v>
      </c>
      <c r="B58" s="1194" t="s">
        <v>51</v>
      </c>
      <c r="C58" s="333">
        <v>16</v>
      </c>
      <c r="D58" s="333">
        <v>6716980</v>
      </c>
      <c r="E58" s="333">
        <v>23</v>
      </c>
      <c r="F58" s="333">
        <v>2917759</v>
      </c>
    </row>
    <row r="59" spans="1:6">
      <c r="A59" s="1194" t="s">
        <v>49</v>
      </c>
      <c r="B59" s="1194" t="s">
        <v>52</v>
      </c>
      <c r="C59" s="333">
        <v>60</v>
      </c>
      <c r="D59" s="333">
        <v>3214497</v>
      </c>
      <c r="E59" s="333">
        <v>140</v>
      </c>
      <c r="F59" s="333">
        <v>4606383</v>
      </c>
    </row>
    <row r="60" spans="1:6">
      <c r="A60" s="1194" t="s">
        <v>49</v>
      </c>
      <c r="B60" s="1194" t="s">
        <v>53</v>
      </c>
      <c r="C60" s="333">
        <v>12</v>
      </c>
      <c r="D60" s="333">
        <v>894136</v>
      </c>
      <c r="E60" s="333">
        <v>20</v>
      </c>
      <c r="F60" s="333">
        <v>1024125</v>
      </c>
    </row>
    <row r="61" spans="1:6">
      <c r="A61" s="1194" t="s">
        <v>49</v>
      </c>
      <c r="B61" s="1194" t="s">
        <v>54</v>
      </c>
      <c r="C61" s="333">
        <v>52</v>
      </c>
      <c r="D61" s="333">
        <v>3014573</v>
      </c>
      <c r="E61" s="333">
        <v>125</v>
      </c>
      <c r="F61" s="333">
        <v>1943968</v>
      </c>
    </row>
    <row r="62" spans="1:6">
      <c r="A62" s="1194" t="s">
        <v>49</v>
      </c>
      <c r="B62" s="1194" t="s">
        <v>55</v>
      </c>
      <c r="C62" s="333">
        <v>5</v>
      </c>
      <c r="D62" s="333">
        <v>610911</v>
      </c>
      <c r="E62" s="333">
        <v>8</v>
      </c>
      <c r="F62" s="333">
        <v>51200</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1</v>
      </c>
      <c r="D65" s="333">
        <v>65578</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12</v>
      </c>
      <c r="F68" s="333">
        <v>128473</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48023737</v>
      </c>
      <c r="E73" s="333">
        <v>41183387.466588944</v>
      </c>
      <c r="F73" s="333">
        <v>40237392</v>
      </c>
    </row>
    <row r="74" spans="1:6">
      <c r="A74" s="1194" t="s">
        <v>64</v>
      </c>
      <c r="B74" s="1194" t="s">
        <v>775</v>
      </c>
      <c r="C74" s="1205" t="s">
        <v>776</v>
      </c>
      <c r="D74" s="333">
        <v>6299623.7215505848</v>
      </c>
      <c r="E74" s="333">
        <v>5195096.4377679182</v>
      </c>
      <c r="F74" s="333">
        <v>5073967.5539192492</v>
      </c>
    </row>
    <row r="75" spans="1:6">
      <c r="A75" s="1194" t="s">
        <v>65</v>
      </c>
      <c r="B75" s="1194" t="s">
        <v>773</v>
      </c>
      <c r="C75" s="1205" t="s">
        <v>777</v>
      </c>
      <c r="D75" s="333">
        <v>20739015</v>
      </c>
      <c r="E75" s="333">
        <v>16482482.822346797</v>
      </c>
      <c r="F75" s="333">
        <v>15577839</v>
      </c>
    </row>
    <row r="76" spans="1:6">
      <c r="A76" s="1194" t="s">
        <v>65</v>
      </c>
      <c r="B76" s="1194" t="s">
        <v>775</v>
      </c>
      <c r="C76" s="1205" t="s">
        <v>778</v>
      </c>
      <c r="D76" s="333">
        <v>3270876.7215505843</v>
      </c>
      <c r="E76" s="333">
        <v>2003085.9204809102</v>
      </c>
      <c r="F76" s="333">
        <v>1904678.5539192497</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161742.55689883122</v>
      </c>
      <c r="C83" s="333">
        <v>145722.31804463544</v>
      </c>
      <c r="D83" s="333">
        <v>144488.89216150079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1597.371172267651</v>
      </c>
    </row>
    <row r="92" spans="1:6">
      <c r="A92" s="1190" t="s">
        <v>69</v>
      </c>
      <c r="B92" s="336">
        <v>2585.1092551543388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1600</v>
      </c>
    </row>
    <row r="98" spans="1:6">
      <c r="A98" s="1194" t="s">
        <v>72</v>
      </c>
      <c r="B98" s="333">
        <v>0</v>
      </c>
    </row>
    <row r="99" spans="1:6">
      <c r="A99" s="1194" t="s">
        <v>73</v>
      </c>
      <c r="B99" s="333">
        <v>132</v>
      </c>
    </row>
    <row r="100" spans="1:6">
      <c r="A100" s="1194" t="s">
        <v>74</v>
      </c>
      <c r="B100" s="333">
        <v>309</v>
      </c>
    </row>
    <row r="101" spans="1:6">
      <c r="A101" s="1194" t="s">
        <v>75</v>
      </c>
      <c r="B101" s="333">
        <v>104</v>
      </c>
    </row>
    <row r="102" spans="1:6">
      <c r="A102" s="1194" t="s">
        <v>76</v>
      </c>
      <c r="B102" s="333">
        <v>64</v>
      </c>
    </row>
    <row r="103" spans="1:6">
      <c r="A103" s="1194" t="s">
        <v>77</v>
      </c>
      <c r="B103" s="333">
        <v>98</v>
      </c>
    </row>
    <row r="104" spans="1:6">
      <c r="A104" s="1194" t="s">
        <v>78</v>
      </c>
      <c r="B104" s="333">
        <v>1210</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7</v>
      </c>
      <c r="C123" s="333">
        <v>3</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31</v>
      </c>
    </row>
    <row r="130" spans="1:6">
      <c r="A130" s="1194" t="s">
        <v>296</v>
      </c>
      <c r="B130" s="333">
        <v>0</v>
      </c>
    </row>
    <row r="131" spans="1:6">
      <c r="A131" s="1194" t="s">
        <v>297</v>
      </c>
      <c r="B131" s="333">
        <v>5</v>
      </c>
    </row>
    <row r="132" spans="1:6">
      <c r="A132" s="1190" t="s">
        <v>298</v>
      </c>
      <c r="B132" s="336">
        <v>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97007.407176026769</v>
      </c>
      <c r="C3" s="43" t="s">
        <v>171</v>
      </c>
      <c r="D3" s="43"/>
      <c r="E3" s="156"/>
      <c r="F3" s="43"/>
      <c r="G3" s="43"/>
      <c r="H3" s="43"/>
      <c r="I3" s="43"/>
      <c r="J3" s="43"/>
      <c r="K3" s="96"/>
    </row>
    <row r="4" spans="1:11">
      <c r="A4" s="364" t="s">
        <v>172</v>
      </c>
      <c r="B4" s="49">
        <f>IF(ISERROR('SEAP template'!B69),0,'SEAP template'!B69)</f>
        <v>9004.2304274219896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8.0205882352941185</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0.20056945357143041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11.457983193277309</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6888.2142857142853</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1.6634185171968926E-3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1017.579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1017.579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0.20056945357143041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204.09526399576256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17028.694</v>
      </c>
      <c r="C5" s="17">
        <f>IF(ISERROR('Eigen informatie GS &amp; warmtenet'!B57),0,'Eigen informatie GS &amp; warmtenet'!B57)</f>
        <v>0</v>
      </c>
      <c r="D5" s="30">
        <f>(SUM(HH_hh_gas_kWh,HH_rest_gas_kWh)/1000)*0.902</f>
        <v>37141.818164000004</v>
      </c>
      <c r="E5" s="17">
        <f>B46*B57</f>
        <v>4493.7771688067651</v>
      </c>
      <c r="F5" s="17">
        <f>B51*B62</f>
        <v>12445.389378735046</v>
      </c>
      <c r="G5" s="18"/>
      <c r="H5" s="17"/>
      <c r="I5" s="17"/>
      <c r="J5" s="17">
        <f>B50*B61+C50*C61</f>
        <v>694.20237025241477</v>
      </c>
      <c r="K5" s="17"/>
      <c r="L5" s="17"/>
      <c r="M5" s="17"/>
      <c r="N5" s="17">
        <f>B48*B59+C48*C59</f>
        <v>10244.030018619585</v>
      </c>
      <c r="O5" s="17">
        <f>B69*B70*B71</f>
        <v>53.153333333333336</v>
      </c>
      <c r="P5" s="17">
        <f>B77*B78*B79/1000-B77*B78*B79/1000/B80</f>
        <v>209.73333333333335</v>
      </c>
    </row>
    <row r="6" spans="1:16">
      <c r="A6" s="16" t="s">
        <v>633</v>
      </c>
      <c r="B6" s="830">
        <f>kWh_PV_kleiner_dan_10kW</f>
        <v>1597.371172267651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18626.065172267652</v>
      </c>
      <c r="C8" s="21">
        <f>C5</f>
        <v>0</v>
      </c>
      <c r="D8" s="21">
        <f>D5</f>
        <v>37141.818164000004</v>
      </c>
      <c r="E8" s="21">
        <f>E5</f>
        <v>4493.7771688067651</v>
      </c>
      <c r="F8" s="21">
        <f>F5</f>
        <v>12445.389378735046</v>
      </c>
      <c r="G8" s="21"/>
      <c r="H8" s="21"/>
      <c r="I8" s="21"/>
      <c r="J8" s="21">
        <f>J5</f>
        <v>694.20237025241477</v>
      </c>
      <c r="K8" s="21"/>
      <c r="L8" s="21">
        <f>L5</f>
        <v>0</v>
      </c>
      <c r="M8" s="21">
        <f>M5</f>
        <v>0</v>
      </c>
      <c r="N8" s="21">
        <f>N5</f>
        <v>10244.030018619585</v>
      </c>
      <c r="O8" s="21">
        <f>O5</f>
        <v>53.153333333333336</v>
      </c>
      <c r="P8" s="21">
        <f>P5</f>
        <v>209.73333333333335</v>
      </c>
    </row>
    <row r="9" spans="1:16">
      <c r="B9" s="19"/>
      <c r="C9" s="19"/>
      <c r="D9" s="260"/>
      <c r="E9" s="19"/>
      <c r="F9" s="19"/>
      <c r="G9" s="19"/>
      <c r="H9" s="19"/>
      <c r="I9" s="19"/>
      <c r="J9" s="19"/>
      <c r="K9" s="19"/>
      <c r="L9" s="19"/>
      <c r="M9" s="19"/>
      <c r="N9" s="19"/>
      <c r="O9" s="19"/>
      <c r="P9" s="19"/>
    </row>
    <row r="10" spans="1:16">
      <c r="A10" s="24" t="s">
        <v>215</v>
      </c>
      <c r="B10" s="25">
        <f ca="1">'EF ele_warmte'!B12</f>
        <v>0.20056945357143041</v>
      </c>
      <c r="C10" s="25">
        <f ca="1">'EF ele_warmte'!B22</f>
        <v>1.6634185171968926E-3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3735.8197137875736</v>
      </c>
      <c r="C12" s="23">
        <f ca="1">C10*C8</f>
        <v>0</v>
      </c>
      <c r="D12" s="23">
        <f>D8*D10</f>
        <v>7502.6472691280014</v>
      </c>
      <c r="E12" s="23">
        <f>E10*E8</f>
        <v>1020.0874173191357</v>
      </c>
      <c r="F12" s="23">
        <f>F10*F8</f>
        <v>3322.9189641222574</v>
      </c>
      <c r="G12" s="23"/>
      <c r="H12" s="23"/>
      <c r="I12" s="23"/>
      <c r="J12" s="23">
        <f>J10*J8</f>
        <v>245.74763906935482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1600</v>
      </c>
      <c r="C18" s="167" t="s">
        <v>111</v>
      </c>
      <c r="D18" s="229"/>
      <c r="E18" s="15"/>
    </row>
    <row r="19" spans="1:7">
      <c r="A19" s="172" t="s">
        <v>72</v>
      </c>
      <c r="B19" s="37">
        <f>aantalw2001_ander</f>
        <v>0</v>
      </c>
      <c r="C19" s="167" t="s">
        <v>111</v>
      </c>
      <c r="D19" s="230"/>
      <c r="E19" s="15"/>
    </row>
    <row r="20" spans="1:7">
      <c r="A20" s="172" t="s">
        <v>73</v>
      </c>
      <c r="B20" s="37">
        <f>aantalw2001_propaan</f>
        <v>132</v>
      </c>
      <c r="C20" s="168">
        <f>IF(ISERROR(B20/SUM($B$20,$B$21,$B$22)*100),0,B20/SUM($B$20,$B$21,$B$22)*100)</f>
        <v>24.220183486238533</v>
      </c>
      <c r="D20" s="230"/>
      <c r="E20" s="15"/>
    </row>
    <row r="21" spans="1:7">
      <c r="A21" s="172" t="s">
        <v>74</v>
      </c>
      <c r="B21" s="37">
        <f>aantalw2001_elektriciteit</f>
        <v>309</v>
      </c>
      <c r="C21" s="168">
        <f>IF(ISERROR(B21/SUM($B$20,$B$21,$B$22)*100),0,B21/SUM($B$20,$B$21,$B$22)*100)</f>
        <v>56.697247706422019</v>
      </c>
      <c r="D21" s="230"/>
      <c r="E21" s="15"/>
    </row>
    <row r="22" spans="1:7">
      <c r="A22" s="172" t="s">
        <v>75</v>
      </c>
      <c r="B22" s="37">
        <f>aantalw2001_hout</f>
        <v>104</v>
      </c>
      <c r="C22" s="168">
        <f>IF(ISERROR(B22/SUM($B$20,$B$21,$B$22)*100),0,B22/SUM($B$20,$B$21,$B$22)*100)</f>
        <v>19.082568807339449</v>
      </c>
      <c r="D22" s="230"/>
      <c r="E22" s="15"/>
    </row>
    <row r="23" spans="1:7">
      <c r="A23" s="172" t="s">
        <v>76</v>
      </c>
      <c r="B23" s="37">
        <f>aantalw2001_niet_gespec</f>
        <v>64</v>
      </c>
      <c r="C23" s="167" t="s">
        <v>111</v>
      </c>
      <c r="D23" s="229"/>
      <c r="E23" s="15"/>
    </row>
    <row r="24" spans="1:7">
      <c r="A24" s="172" t="s">
        <v>77</v>
      </c>
      <c r="B24" s="37">
        <f>aantalw2001_steenkool</f>
        <v>98</v>
      </c>
      <c r="C24" s="167" t="s">
        <v>111</v>
      </c>
      <c r="D24" s="230"/>
      <c r="E24" s="15"/>
    </row>
    <row r="25" spans="1:7">
      <c r="A25" s="172" t="s">
        <v>78</v>
      </c>
      <c r="B25" s="37">
        <f>aantalw2001_stookolie</f>
        <v>1210</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3821</v>
      </c>
      <c r="C28" s="36"/>
      <c r="D28" s="229"/>
    </row>
    <row r="29" spans="1:7" s="15" customFormat="1">
      <c r="A29" s="231" t="s">
        <v>714</v>
      </c>
      <c r="B29" s="37">
        <f>SUM(HH_hh_gas_aantal,HH_rest_gas_aantal)</f>
        <v>2338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2338</v>
      </c>
      <c r="C32" s="168">
        <f>IF(ISERROR(B32/SUM($B$32,$B$34,$B$35,$B$36,$B$38,$B$39)*100),0,B32/SUM($B$32,$B$34,$B$35,$B$36,$B$38,$B$39)*100)</f>
        <v>61.364829396325462</v>
      </c>
      <c r="D32" s="234"/>
      <c r="G32" s="15"/>
    </row>
    <row r="33" spans="1:7">
      <c r="A33" s="172" t="s">
        <v>72</v>
      </c>
      <c r="B33" s="34" t="s">
        <v>111</v>
      </c>
      <c r="C33" s="168"/>
      <c r="D33" s="234"/>
      <c r="G33" s="15"/>
    </row>
    <row r="34" spans="1:7">
      <c r="A34" s="172" t="s">
        <v>73</v>
      </c>
      <c r="B34" s="33">
        <f>IF((($B$28-$B$32-$B$39-$B$77-$B$38)*C20/100)&lt;0,0,($B$28-$B$32-$B$39-$B$77-$B$38)*C20/100)</f>
        <v>218.46605504587157</v>
      </c>
      <c r="C34" s="168">
        <f>IF(ISERROR(B34/SUM($B$32,$B$34,$B$35,$B$36,$B$38,$B$39)*100),0,B34/SUM($B$32,$B$34,$B$35,$B$36,$B$38,$B$39)*100)</f>
        <v>5.7340171928050276</v>
      </c>
      <c r="D34" s="234"/>
      <c r="G34" s="15"/>
    </row>
    <row r="35" spans="1:7">
      <c r="A35" s="172" t="s">
        <v>74</v>
      </c>
      <c r="B35" s="33">
        <f>IF((($B$28-$B$32-$B$39-$B$77-$B$38)*C21/100)&lt;0,0,($B$28-$B$32-$B$39-$B$77-$B$38)*C21/100)</f>
        <v>511.40917431192662</v>
      </c>
      <c r="C35" s="168">
        <f>IF(ISERROR(B35/SUM($B$32,$B$34,$B$35,$B$36,$B$38,$B$39)*100),0,B35/SUM($B$32,$B$34,$B$35,$B$36,$B$38,$B$39)*100)</f>
        <v>13.422812974066314</v>
      </c>
      <c r="D35" s="234"/>
      <c r="G35" s="15"/>
    </row>
    <row r="36" spans="1:7">
      <c r="A36" s="172" t="s">
        <v>75</v>
      </c>
      <c r="B36" s="33">
        <f>IF((($B$28-$B$32-$B$39-$B$77-$B$38)*C22/100)&lt;0,0,($B$28-$B$32-$B$39-$B$77-$B$38)*C22/100)</f>
        <v>172.12477064220184</v>
      </c>
      <c r="C36" s="168">
        <f>IF(ISERROR(B36/SUM($B$32,$B$34,$B$35,$B$36,$B$38,$B$39)*100),0,B36/SUM($B$32,$B$34,$B$35,$B$36,$B$38,$B$39)*100)</f>
        <v>4.5177105155433548</v>
      </c>
      <c r="D36" s="234"/>
      <c r="G36" s="15"/>
    </row>
    <row r="37" spans="1:7">
      <c r="A37" s="172" t="s">
        <v>76</v>
      </c>
      <c r="B37" s="34" t="s">
        <v>111</v>
      </c>
      <c r="C37" s="168"/>
      <c r="D37" s="174"/>
      <c r="G37" s="15"/>
    </row>
    <row r="38" spans="1:7">
      <c r="A38" s="172" t="s">
        <v>77</v>
      </c>
      <c r="B38" s="33">
        <f>IF((B24-(B29-B18)*0.1)&lt;0,0,B24-(B29-B18)*0.1)</f>
        <v>24.200000000000003</v>
      </c>
      <c r="C38" s="168">
        <f>IF(ISERROR(B38/SUM($B$32,$B$34,$B$35,$B$36,$B$38,$B$39)*100),0,B38/SUM($B$32,$B$34,$B$35,$B$36,$B$38,$B$39)*100)</f>
        <v>0.6351706036745407</v>
      </c>
      <c r="D38" s="235"/>
      <c r="G38" s="15"/>
    </row>
    <row r="39" spans="1:7">
      <c r="A39" s="172" t="s">
        <v>78</v>
      </c>
      <c r="B39" s="33">
        <f>IF((B25-(B29-B18))&lt;0,0,B25-(B29-B18)*0.9)</f>
        <v>545.79999999999995</v>
      </c>
      <c r="C39" s="168">
        <f>IF(ISERROR(B39/SUM($B$32,$B$34,$B$35,$B$36,$B$38,$B$39)*100),0,B39/SUM($B$32,$B$34,$B$35,$B$36,$B$38,$B$39)*100)</f>
        <v>14.325459317585301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2338</v>
      </c>
      <c r="C44" s="34" t="s">
        <v>111</v>
      </c>
      <c r="D44" s="175"/>
    </row>
    <row r="45" spans="1:7">
      <c r="A45" s="172" t="s">
        <v>72</v>
      </c>
      <c r="B45" s="33" t="str">
        <f t="shared" si="0"/>
        <v>-</v>
      </c>
      <c r="C45" s="34" t="s">
        <v>111</v>
      </c>
      <c r="D45" s="175"/>
    </row>
    <row r="46" spans="1:7">
      <c r="A46" s="172" t="s">
        <v>73</v>
      </c>
      <c r="B46" s="33">
        <f t="shared" si="0"/>
        <v>218.46605504587157</v>
      </c>
      <c r="C46" s="34" t="s">
        <v>111</v>
      </c>
      <c r="D46" s="175"/>
    </row>
    <row r="47" spans="1:7">
      <c r="A47" s="172" t="s">
        <v>74</v>
      </c>
      <c r="B47" s="33">
        <f t="shared" si="0"/>
        <v>511.40917431192662</v>
      </c>
      <c r="C47" s="34" t="s">
        <v>111</v>
      </c>
      <c r="D47" s="175"/>
    </row>
    <row r="48" spans="1:7">
      <c r="A48" s="172" t="s">
        <v>75</v>
      </c>
      <c r="B48" s="33">
        <f t="shared" si="0"/>
        <v>172.12477064220184</v>
      </c>
      <c r="C48" s="33">
        <f>B48*10</f>
        <v>1721.2477064220184</v>
      </c>
      <c r="D48" s="235"/>
    </row>
    <row r="49" spans="1:6">
      <c r="A49" s="172" t="s">
        <v>76</v>
      </c>
      <c r="B49" s="33" t="str">
        <f t="shared" si="0"/>
        <v>-</v>
      </c>
      <c r="C49" s="34" t="s">
        <v>111</v>
      </c>
      <c r="D49" s="235"/>
    </row>
    <row r="50" spans="1:6">
      <c r="A50" s="172" t="s">
        <v>77</v>
      </c>
      <c r="B50" s="33">
        <f t="shared" si="0"/>
        <v>24.200000000000003</v>
      </c>
      <c r="C50" s="33">
        <f>B50*2</f>
        <v>48.400000000000006</v>
      </c>
      <c r="D50" s="235"/>
    </row>
    <row r="51" spans="1:6">
      <c r="A51" s="172" t="s">
        <v>78</v>
      </c>
      <c r="B51" s="33">
        <f t="shared" si="0"/>
        <v>545.79999999999995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12646.561000000002</v>
      </c>
      <c r="C5" s="17">
        <f>IF(ISERROR('Eigen informatie GS &amp; warmtenet'!B58),0,'Eigen informatie GS &amp; warmtenet'!B58)</f>
        <v>0</v>
      </c>
      <c r="D5" s="30">
        <f>SUM(D6:D12)</f>
        <v>14767.090294</v>
      </c>
      <c r="E5" s="17">
        <f>SUM(E6:E12)</f>
        <v>163.53861232168822</v>
      </c>
      <c r="F5" s="17">
        <f>SUM(F6:F12)</f>
        <v>2496.6094441295195</v>
      </c>
      <c r="G5" s="18"/>
      <c r="H5" s="17"/>
      <c r="I5" s="17"/>
      <c r="J5" s="17">
        <f>SUM(J6:J12)</f>
        <v>0</v>
      </c>
      <c r="K5" s="17"/>
      <c r="L5" s="17"/>
      <c r="M5" s="17"/>
      <c r="N5" s="17">
        <f>SUM(N6:N12)</f>
        <v>527.27338175959903</v>
      </c>
      <c r="O5" s="17">
        <f>B38*B39*B40</f>
        <v>0</v>
      </c>
      <c r="P5" s="17">
        <f>B46*B47*B48/1000-B46*B47*B48/1000/B49</f>
        <v>95.333333333333343</v>
      </c>
      <c r="R5" s="32"/>
    </row>
    <row r="6" spans="1:18">
      <c r="A6" s="32" t="s">
        <v>54</v>
      </c>
      <c r="B6" s="37">
        <f>B26</f>
        <v>1943.9680000000001</v>
      </c>
      <c r="C6" s="33"/>
      <c r="D6" s="37">
        <f>IF(ISERROR(TER_kantoor_gas_kWh/1000),0,TER_kantoor_gas_kWh/1000)*0.902</f>
        <v>2719.1448460000001</v>
      </c>
      <c r="E6" s="33">
        <f>$C$26*'E Balans VL '!I12/100/3.6*1000000</f>
        <v>68.046527077579029</v>
      </c>
      <c r="F6" s="33">
        <f>$C$26*('E Balans VL '!L12+'E Balans VL '!N12)/100/3.6*1000000</f>
        <v>294.74728538397898</v>
      </c>
      <c r="G6" s="34"/>
      <c r="H6" s="33"/>
      <c r="I6" s="33"/>
      <c r="J6" s="33">
        <f>$C$26*('E Balans VL '!D12+'E Balans VL '!E12)/100/3.6*1000000</f>
        <v>0</v>
      </c>
      <c r="K6" s="33"/>
      <c r="L6" s="33"/>
      <c r="M6" s="33"/>
      <c r="N6" s="33">
        <f>$C$26*'E Balans VL '!Y12/100/3.6*1000000</f>
        <v>15.026264194761167</v>
      </c>
      <c r="O6" s="33"/>
      <c r="P6" s="33"/>
      <c r="R6" s="32"/>
    </row>
    <row r="7" spans="1:18">
      <c r="A7" s="32" t="s">
        <v>53</v>
      </c>
      <c r="B7" s="37">
        <f t="shared" ref="B7:B12" si="0">B27</f>
        <v>1024.125</v>
      </c>
      <c r="C7" s="33"/>
      <c r="D7" s="37">
        <f>IF(ISERROR(TER_horeca_gas_kWh/1000),0,TER_horeca_gas_kWh/1000)*0.902</f>
        <v>806.510672</v>
      </c>
      <c r="E7" s="33">
        <f>$C$27*'E Balans VL '!I9/100/3.6*1000000</f>
        <v>57.77426754606558</v>
      </c>
      <c r="F7" s="33">
        <f>$C$27*('E Balans VL '!L9+'E Balans VL '!N9)/100/3.6*1000000</f>
        <v>178.40824258051828</v>
      </c>
      <c r="G7" s="34"/>
      <c r="H7" s="33"/>
      <c r="I7" s="33"/>
      <c r="J7" s="33">
        <f>$C$27*('E Balans VL '!D9+'E Balans VL '!E9)/100/3.6*1000000</f>
        <v>0</v>
      </c>
      <c r="K7" s="33"/>
      <c r="L7" s="33"/>
      <c r="M7" s="33"/>
      <c r="N7" s="33">
        <f>$C$27*'E Balans VL '!Y9/100/3.6*1000000</f>
        <v>0</v>
      </c>
      <c r="O7" s="33"/>
      <c r="P7" s="33"/>
      <c r="R7" s="32"/>
    </row>
    <row r="8" spans="1:18">
      <c r="A8" s="6" t="s">
        <v>52</v>
      </c>
      <c r="B8" s="37">
        <f t="shared" si="0"/>
        <v>4606.3829999999998</v>
      </c>
      <c r="C8" s="33"/>
      <c r="D8" s="37">
        <f>IF(ISERROR(TER_handel_gas_kWh/1000),0,TER_handel_gas_kWh/1000)*0.902</f>
        <v>2899.4762940000001</v>
      </c>
      <c r="E8" s="33">
        <f>$C$28*'E Balans VL '!I13/100/3.6*1000000</f>
        <v>23.648702320274804</v>
      </c>
      <c r="F8" s="33">
        <f>$C$28*('E Balans VL '!L13+'E Balans VL '!N13)/100/3.6*1000000</f>
        <v>710.23308267612242</v>
      </c>
      <c r="G8" s="34"/>
      <c r="H8" s="33"/>
      <c r="I8" s="33"/>
      <c r="J8" s="33">
        <f>$C$28*('E Balans VL '!D13+'E Balans VL '!E13)/100/3.6*1000000</f>
        <v>0</v>
      </c>
      <c r="K8" s="33"/>
      <c r="L8" s="33"/>
      <c r="M8" s="33"/>
      <c r="N8" s="33">
        <f>$C$28*'E Balans VL '!Y13/100/3.6*1000000</f>
        <v>2.1544615575730788</v>
      </c>
      <c r="O8" s="33"/>
      <c r="P8" s="33"/>
      <c r="R8" s="32"/>
    </row>
    <row r="9" spans="1:18">
      <c r="A9" s="32" t="s">
        <v>51</v>
      </c>
      <c r="B9" s="37">
        <f t="shared" si="0"/>
        <v>2917.759</v>
      </c>
      <c r="C9" s="33"/>
      <c r="D9" s="37">
        <f>IF(ISERROR(TER_gezond_gas_kWh/1000),0,TER_gezond_gas_kWh/1000)*0.902</f>
        <v>6058.7159599999995</v>
      </c>
      <c r="E9" s="33">
        <f>$C$29*'E Balans VL '!I10/100/3.6*1000000</f>
        <v>1.209390325965136</v>
      </c>
      <c r="F9" s="33">
        <f>$C$29*('E Balans VL '!L10+'E Balans VL '!N10)/100/3.6*1000000</f>
        <v>718.60219545396353</v>
      </c>
      <c r="G9" s="34"/>
      <c r="H9" s="33"/>
      <c r="I9" s="33"/>
      <c r="J9" s="33">
        <f>$C$29*('E Balans VL '!D10+'E Balans VL '!E10)/100/3.6*1000000</f>
        <v>0</v>
      </c>
      <c r="K9" s="33"/>
      <c r="L9" s="33"/>
      <c r="M9" s="33"/>
      <c r="N9" s="33">
        <f>$C$29*'E Balans VL '!Y10/100/3.6*1000000</f>
        <v>25.216659578588718</v>
      </c>
      <c r="O9" s="33"/>
      <c r="P9" s="33"/>
      <c r="R9" s="32"/>
    </row>
    <row r="10" spans="1:18">
      <c r="A10" s="32" t="s">
        <v>50</v>
      </c>
      <c r="B10" s="37">
        <f t="shared" si="0"/>
        <v>2103.1260000000002</v>
      </c>
      <c r="C10" s="33"/>
      <c r="D10" s="37">
        <f>IF(ISERROR(TER_ander_gas_kWh/1000),0,TER_ander_gas_kWh/1000)*0.902</f>
        <v>1732.2008000000001</v>
      </c>
      <c r="E10" s="33">
        <f>$C$30*'E Balans VL '!I14/100/3.6*1000000</f>
        <v>12.820707985791501</v>
      </c>
      <c r="F10" s="33">
        <f>$C$30*('E Balans VL '!L14+'E Balans VL '!N14)/100/3.6*1000000</f>
        <v>557.56751215818974</v>
      </c>
      <c r="G10" s="34"/>
      <c r="H10" s="33"/>
      <c r="I10" s="33"/>
      <c r="J10" s="33">
        <f>$C$30*('E Balans VL '!D14+'E Balans VL '!E14)/100/3.6*1000000</f>
        <v>0</v>
      </c>
      <c r="K10" s="33"/>
      <c r="L10" s="33"/>
      <c r="M10" s="33"/>
      <c r="N10" s="33">
        <f>$C$30*'E Balans VL '!Y14/100/3.6*1000000</f>
        <v>484.72509779209901</v>
      </c>
      <c r="O10" s="33"/>
      <c r="P10" s="33"/>
      <c r="R10" s="32"/>
    </row>
    <row r="11" spans="1:18">
      <c r="A11" s="32" t="s">
        <v>55</v>
      </c>
      <c r="B11" s="37">
        <f t="shared" si="0"/>
        <v>51.2</v>
      </c>
      <c r="C11" s="33"/>
      <c r="D11" s="37">
        <f>IF(ISERROR(TER_onderwijs_gas_kWh/1000),0,TER_onderwijs_gas_kWh/1000)*0.902</f>
        <v>551.04172199999994</v>
      </c>
      <c r="E11" s="33">
        <f>$C$31*'E Balans VL '!I11/100/3.6*1000000</f>
        <v>3.9017066012164654E-2</v>
      </c>
      <c r="F11" s="33">
        <f>$C$31*('E Balans VL '!L11+'E Balans VL '!N11)/100/3.6*1000000</f>
        <v>37.05112587674644</v>
      </c>
      <c r="G11" s="34"/>
      <c r="H11" s="33"/>
      <c r="I11" s="33"/>
      <c r="J11" s="33">
        <f>$C$31*('E Balans VL '!D11+'E Balans VL '!E11)/100/3.6*1000000</f>
        <v>0</v>
      </c>
      <c r="K11" s="33"/>
      <c r="L11" s="33"/>
      <c r="M11" s="33"/>
      <c r="N11" s="33">
        <f>$C$31*'E Balans VL '!Y11/100/3.6*1000000</f>
        <v>0.15089863657702554</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4821.75</v>
      </c>
      <c r="C13" s="248">
        <f ca="1">'lokale energieproductie'!O90+'lokale energieproductie'!O59</f>
        <v>6888.2142857142853</v>
      </c>
      <c r="D13" s="311">
        <f ca="1">('lokale energieproductie'!P59+'lokale energieproductie'!P90)*(-1)</f>
        <v>-96.428571428571431</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-13680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17468.311000000002</v>
      </c>
      <c r="C16" s="21">
        <f ca="1">C5+C13+C14</f>
        <v>6888.2142857142853</v>
      </c>
      <c r="D16" s="21">
        <f t="shared" ref="D16:N16" ca="1" si="1">MAX((D5+D13+D14),0)</f>
        <v>14670.661722571429</v>
      </c>
      <c r="E16" s="21">
        <f t="shared" si="1"/>
        <v>163.53861232168822</v>
      </c>
      <c r="F16" s="21">
        <f t="shared" ca="1" si="1"/>
        <v>2496.6094441295195</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0.20056945357143041</v>
      </c>
      <c r="C18" s="25">
        <f ca="1">'EF ele_warmte'!B22</f>
        <v>1.6634185171968926E-3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3503.6095920858074</v>
      </c>
      <c r="C20" s="23">
        <f t="shared" ref="C20:P20" ca="1" si="2">C16*C18</f>
        <v>11.457983193277309</v>
      </c>
      <c r="D20" s="23">
        <f t="shared" ca="1" si="2"/>
        <v>2963.4736679594289</v>
      </c>
      <c r="E20" s="23">
        <f t="shared" si="2"/>
        <v>37.123264997023227</v>
      </c>
      <c r="F20" s="23">
        <f t="shared" ca="1" si="2"/>
        <v>666.59472158258177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1943.9680000000001</v>
      </c>
      <c r="C26" s="39">
        <f>IF(ISERROR(B26*3.6/1000000/'E Balans VL '!Z12*100),0,B26*3.6/1000000/'E Balans VL '!Z12*100)</f>
        <v>4.0907582731737342E-2</v>
      </c>
      <c r="D26" s="238" t="s">
        <v>720</v>
      </c>
      <c r="F26" s="6"/>
    </row>
    <row r="27" spans="1:18">
      <c r="A27" s="232" t="s">
        <v>53</v>
      </c>
      <c r="B27" s="33">
        <f>IF(ISERROR(TER_horeca_ele_kWh/1000),0,TER_horeca_ele_kWh/1000)</f>
        <v>1024.125</v>
      </c>
      <c r="C27" s="39">
        <f>IF(ISERROR(B27*3.6/1000000/'E Balans VL '!Z9*100),0,B27*3.6/1000000/'E Balans VL '!Z9*100)</f>
        <v>8.6709785985399898E-2</v>
      </c>
      <c r="D27" s="238" t="s">
        <v>720</v>
      </c>
      <c r="F27" s="6"/>
    </row>
    <row r="28" spans="1:18">
      <c r="A28" s="172" t="s">
        <v>52</v>
      </c>
      <c r="B28" s="33">
        <f>IF(ISERROR(TER_handel_ele_kWh/1000),0,TER_handel_ele_kWh/1000)</f>
        <v>4606.3829999999998</v>
      </c>
      <c r="C28" s="39">
        <f>IF(ISERROR(B28*3.6/1000000/'E Balans VL '!Z13*100),0,B28*3.6/1000000/'E Balans VL '!Z13*100)</f>
        <v>0.1275270763887546</v>
      </c>
      <c r="D28" s="238" t="s">
        <v>720</v>
      </c>
      <c r="F28" s="6"/>
    </row>
    <row r="29" spans="1:18">
      <c r="A29" s="232" t="s">
        <v>51</v>
      </c>
      <c r="B29" s="33">
        <f>IF(ISERROR(TER_gezond_ele_kWh/1000),0,TER_gezond_ele_kWh/1000)</f>
        <v>2917.759</v>
      </c>
      <c r="C29" s="39">
        <f>IF(ISERROR(B29*3.6/1000000/'E Balans VL '!Z10*100),0,B29*3.6/1000000/'E Balans VL '!Z10*100)</f>
        <v>0.37927632287014218</v>
      </c>
      <c r="D29" s="238" t="s">
        <v>720</v>
      </c>
      <c r="F29" s="6"/>
    </row>
    <row r="30" spans="1:18">
      <c r="A30" s="232" t="s">
        <v>50</v>
      </c>
      <c r="B30" s="33">
        <f>IF(ISERROR(TER_ander_ele_kWh/1000),0,TER_ander_ele_kWh/1000)</f>
        <v>2103.1260000000002</v>
      </c>
      <c r="C30" s="39">
        <f>IF(ISERROR(B30*3.6/1000000/'E Balans VL '!Z14*100),0,B30*3.6/1000000/'E Balans VL '!Z14*100)</f>
        <v>0.16301155213878418</v>
      </c>
      <c r="D30" s="238" t="s">
        <v>720</v>
      </c>
      <c r="F30" s="6"/>
    </row>
    <row r="31" spans="1:18">
      <c r="A31" s="232" t="s">
        <v>55</v>
      </c>
      <c r="B31" s="33">
        <f>IF(ISERROR(TER_onderwijs_ele_kWh/1000),0,TER_onderwijs_ele_kWh/1000)</f>
        <v>51.2</v>
      </c>
      <c r="C31" s="39">
        <f>IF(ISERROR(B31*3.6/1000000/'E Balans VL '!Z11*100),0,B31*3.6/1000000/'E Balans VL '!Z11*100)</f>
        <v>9.7954324295375234E-3</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5</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55264.46</v>
      </c>
      <c r="C5" s="17">
        <f>IF(ISERROR('Eigen informatie GS &amp; warmtenet'!B59),0,'Eigen informatie GS &amp; warmtenet'!B59)</f>
        <v>0</v>
      </c>
      <c r="D5" s="30">
        <f>SUM(D6:D15)</f>
        <v>27555.813163999999</v>
      </c>
      <c r="E5" s="17">
        <f>SUM(E6:E15)</f>
        <v>796.26644267215545</v>
      </c>
      <c r="F5" s="17">
        <f>SUM(F6:F15)</f>
        <v>24585.785845884482</v>
      </c>
      <c r="G5" s="18"/>
      <c r="H5" s="17"/>
      <c r="I5" s="17"/>
      <c r="J5" s="17">
        <f>SUM(J6:J15)</f>
        <v>460.43536818042736</v>
      </c>
      <c r="K5" s="17"/>
      <c r="L5" s="17"/>
      <c r="M5" s="17"/>
      <c r="N5" s="17">
        <f>SUM(N6:N15)</f>
        <v>2058.2425096526213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22112.192999999999</v>
      </c>
      <c r="C8" s="33"/>
      <c r="D8" s="37">
        <f>IF( ISERROR(IND_metaal_Gas_kWH/1000),0,IND_metaal_Gas_kWH/1000)*0.902</f>
        <v>11407.889856</v>
      </c>
      <c r="E8" s="33">
        <f>C30*'E Balans VL '!I18/100/3.6*1000000</f>
        <v>155.3775013769197</v>
      </c>
      <c r="F8" s="33">
        <f>C30*'E Balans VL '!L18/100/3.6*1000000+C30*'E Balans VL '!N18/100/3.6*1000000</f>
        <v>2427.7894223373423</v>
      </c>
      <c r="G8" s="34"/>
      <c r="H8" s="33"/>
      <c r="I8" s="33"/>
      <c r="J8" s="40">
        <f>C30*'E Balans VL '!D18/100/3.6*1000000+C30*'E Balans VL '!E18/100/3.6*1000000</f>
        <v>456.222202028862</v>
      </c>
      <c r="K8" s="33"/>
      <c r="L8" s="33"/>
      <c r="M8" s="33"/>
      <c r="N8" s="33">
        <f>C30*'E Balans VL '!Y18/100/3.6*1000000</f>
        <v>82.87809188243169</v>
      </c>
      <c r="O8" s="33"/>
      <c r="P8" s="33"/>
      <c r="R8" s="32"/>
    </row>
    <row r="9" spans="1:18">
      <c r="A9" s="6" t="s">
        <v>33</v>
      </c>
      <c r="B9" s="37">
        <f t="shared" si="0"/>
        <v>26575.305</v>
      </c>
      <c r="C9" s="33"/>
      <c r="D9" s="37">
        <f>IF( ISERROR(IND_andere_gas_kWh/1000),0,IND_andere_gas_kWh/1000)*0.902</f>
        <v>929.12584600000014</v>
      </c>
      <c r="E9" s="33">
        <f>C31*'E Balans VL '!I19/100/3.6*1000000</f>
        <v>446.36480326307344</v>
      </c>
      <c r="F9" s="33">
        <f>C31*'E Balans VL '!L19/100/3.6*1000000+C31*'E Balans VL '!N19/100/3.6*1000000</f>
        <v>20775.05983264526</v>
      </c>
      <c r="G9" s="34"/>
      <c r="H9" s="33"/>
      <c r="I9" s="33"/>
      <c r="J9" s="40">
        <f>C31*'E Balans VL '!D19/100/3.6*1000000+C31*'E Balans VL '!E19/100/3.6*1000000</f>
        <v>2.3968579205535656</v>
      </c>
      <c r="K9" s="33"/>
      <c r="L9" s="33"/>
      <c r="M9" s="33"/>
      <c r="N9" s="33">
        <f>C31*'E Balans VL '!Y19/100/3.6*1000000</f>
        <v>1969.6564637328709</v>
      </c>
      <c r="O9" s="33"/>
      <c r="P9" s="33"/>
      <c r="R9" s="32"/>
    </row>
    <row r="10" spans="1:18">
      <c r="A10" s="6" t="s">
        <v>41</v>
      </c>
      <c r="B10" s="37">
        <f t="shared" si="0"/>
        <v>235.70500000000001</v>
      </c>
      <c r="C10" s="33"/>
      <c r="D10" s="37">
        <f>IF( ISERROR(IND_voed_gas_kWh/1000),0,IND_voed_gas_kWh/1000)*0.902</f>
        <v>325.40191199999998</v>
      </c>
      <c r="E10" s="33">
        <f>C32*'E Balans VL '!I20/100/3.6*1000000</f>
        <v>2.1504744727919589</v>
      </c>
      <c r="F10" s="33">
        <f>C32*'E Balans VL '!L20/100/3.6*1000000+C32*'E Balans VL '!N20/100/3.6*1000000</f>
        <v>38.026588920950914</v>
      </c>
      <c r="G10" s="34"/>
      <c r="H10" s="33"/>
      <c r="I10" s="33"/>
      <c r="J10" s="40">
        <f>C32*'E Balans VL '!D20/100/3.6*1000000+C32*'E Balans VL '!E20/100/3.6*1000000</f>
        <v>0.97078772567831195</v>
      </c>
      <c r="K10" s="33"/>
      <c r="L10" s="33"/>
      <c r="M10" s="33"/>
      <c r="N10" s="33">
        <f>C32*'E Balans VL '!Y20/100/3.6*1000000</f>
        <v>3.4481782913911792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6215.6850000000004</v>
      </c>
      <c r="C13" s="33"/>
      <c r="D13" s="37">
        <f>IF( ISERROR(IND_papier_gas_kWh/1000),0,IND_papier_gas_kWh/1000)*0.902</f>
        <v>11017.107376</v>
      </c>
      <c r="E13" s="33">
        <f>C35*'E Balans VL '!I23/100/3.6*1000000</f>
        <v>191.2404059568768</v>
      </c>
      <c r="F13" s="33">
        <f>C35*'E Balans VL '!L23/100/3.6*1000000+C35*'E Balans VL '!N23/100/3.6*1000000</f>
        <v>1319.8071508565572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125.572</v>
      </c>
      <c r="C15" s="33"/>
      <c r="D15" s="37">
        <f>IF( ISERROR(IND_rest_gas_kWh/1000),0,IND_rest_gas_kWh/1000)*0.902</f>
        <v>3876.2881739999998</v>
      </c>
      <c r="E15" s="33">
        <f>C37*'E Balans VL '!I15/100/3.6*1000000</f>
        <v>1.1332576024936329</v>
      </c>
      <c r="F15" s="33">
        <f>C37*'E Balans VL '!L15/100/3.6*1000000+C37*'E Balans VL '!N15/100/3.6*1000000</f>
        <v>25.10285112436592</v>
      </c>
      <c r="G15" s="34"/>
      <c r="H15" s="33"/>
      <c r="I15" s="33"/>
      <c r="J15" s="40">
        <f>C37*'E Balans VL '!D15/100/3.6*1000000+C37*'E Balans VL '!E15/100/3.6*1000000</f>
        <v>0.84552050533352352</v>
      </c>
      <c r="K15" s="33"/>
      <c r="L15" s="33"/>
      <c r="M15" s="33"/>
      <c r="N15" s="33">
        <f>C37*'E Balans VL '!Y15/100/3.6*1000000</f>
        <v>2.2597757459274272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55264.46</v>
      </c>
      <c r="C18" s="21">
        <f>C5+C16</f>
        <v>0</v>
      </c>
      <c r="D18" s="21">
        <f>MAX((D5+D16),0)</f>
        <v>27555.813163999999</v>
      </c>
      <c r="E18" s="21">
        <f>MAX((E5+E16),0)</f>
        <v>796.26644267215545</v>
      </c>
      <c r="F18" s="21">
        <f>MAX((F5+F16),0)</f>
        <v>24585.785845884482</v>
      </c>
      <c r="G18" s="21"/>
      <c r="H18" s="21"/>
      <c r="I18" s="21"/>
      <c r="J18" s="21">
        <f>MAX((J5+J16),0)</f>
        <v>460.43536818042736</v>
      </c>
      <c r="K18" s="21"/>
      <c r="L18" s="21">
        <f>MAX((L5+L16),0)</f>
        <v>0</v>
      </c>
      <c r="M18" s="21"/>
      <c r="N18" s="21">
        <f>MAX((N5+N16),0)</f>
        <v>2058.2425096526213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0.20056945357143041</v>
      </c>
      <c r="C20" s="25">
        <f ca="1">'EF ele_warmte'!B22</f>
        <v>1.6634185171968926E-3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11084.362544120173</v>
      </c>
      <c r="C22" s="23">
        <f ca="1">C18*C20</f>
        <v>0</v>
      </c>
      <c r="D22" s="23">
        <f>D18*D20</f>
        <v>5566.2742591280003</v>
      </c>
      <c r="E22" s="23">
        <f>E18*E20</f>
        <v>180.75248248657928</v>
      </c>
      <c r="F22" s="23">
        <f>F18*F20</f>
        <v>6564.4048208511567</v>
      </c>
      <c r="G22" s="23"/>
      <c r="H22" s="23"/>
      <c r="I22" s="23"/>
      <c r="J22" s="23">
        <f>J18*J20</f>
        <v>162.99412033587129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22112.192999999999</v>
      </c>
      <c r="C30" s="39">
        <f>IF(ISERROR(B30*3.6/1000000/'E Balans VL '!Z18*100),0,B30*3.6/1000000/'E Balans VL '!Z18*100)</f>
        <v>1.4720221908465594</v>
      </c>
      <c r="D30" s="238" t="s">
        <v>720</v>
      </c>
    </row>
    <row r="31" spans="1:18">
      <c r="A31" s="6" t="s">
        <v>33</v>
      </c>
      <c r="B31" s="37">
        <f>IF( ISERROR(IND_ander_ele_kWh/1000),0,IND_ander_ele_kWh/1000)</f>
        <v>26575.305</v>
      </c>
      <c r="C31" s="39">
        <f>IF(ISERROR(B31*3.6/1000000/'E Balans VL '!Z19*100),0,B31*3.6/1000000/'E Balans VL '!Z19*100)</f>
        <v>1.1779779541287148</v>
      </c>
      <c r="D31" s="238" t="s">
        <v>720</v>
      </c>
    </row>
    <row r="32" spans="1:18">
      <c r="A32" s="172" t="s">
        <v>41</v>
      </c>
      <c r="B32" s="37">
        <f>IF( ISERROR(IND_voed_ele_kWh/1000),0,IND_voed_ele_kWh/1000)</f>
        <v>235.70500000000001</v>
      </c>
      <c r="C32" s="39">
        <f>IF(ISERROR(B32*3.6/1000000/'E Balans VL '!Z20*100),0,B32*3.6/1000000/'E Balans VL '!Z20*100)</f>
        <v>7.8732231501340705E-3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6215.6850000000004</v>
      </c>
      <c r="C35" s="39">
        <f>IF(ISERROR(B35*3.6/1000000/'E Balans VL '!Z22*100),0,B35*3.6/1000000/'E Balans VL '!Z22*100)</f>
        <v>1.2088824570812846</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125.572</v>
      </c>
      <c r="C37" s="39">
        <f>IF(ISERROR(B37*3.6/1000000/'E Balans VL '!Z15*100),0,B37*3.6/1000000/'E Balans VL '!Z15*100)</f>
        <v>9.3405110571287008E-4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4630.4430000000002</v>
      </c>
      <c r="C5" s="17">
        <f>'Eigen informatie GS &amp; warmtenet'!B60</f>
        <v>0</v>
      </c>
      <c r="D5" s="30">
        <f>IF(ISERROR(SUM(LB_lb_gas_kWh,LB_rest_gas_kWh,onbekend_gas_kWh)/1000),0,SUM(LB_lb_gas_kWh,LB_rest_gas_kWh,onbekend_gas_kWh)/1000)*0.902</f>
        <v>3005.3756040000003</v>
      </c>
      <c r="E5" s="17">
        <f>B17*'E Balans VL '!I25/3.6*1000000/100</f>
        <v>48.491001546029821</v>
      </c>
      <c r="F5" s="17">
        <f>B17*('E Balans VL '!L25/3.6*1000000+'E Balans VL '!N25/3.6*1000000)/100</f>
        <v>23782.692526894887</v>
      </c>
      <c r="G5" s="18"/>
      <c r="H5" s="17"/>
      <c r="I5" s="17"/>
      <c r="J5" s="17">
        <f>('E Balans VL '!D25+'E Balans VL '!E25)/3.6*1000000*landbouw!B17/100</f>
        <v>413.54006326864231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4630.4430000000002</v>
      </c>
      <c r="C8" s="21">
        <f>C5+C6</f>
        <v>0</v>
      </c>
      <c r="D8" s="21">
        <f>MAX((D5+D6),0)</f>
        <v>3005.3756040000003</v>
      </c>
      <c r="E8" s="21">
        <f>MAX((E5+E6),0)</f>
        <v>48.491001546029821</v>
      </c>
      <c r="F8" s="21">
        <f>MAX((F5+F6),0)</f>
        <v>23782.692526894887</v>
      </c>
      <c r="G8" s="21"/>
      <c r="H8" s="21"/>
      <c r="I8" s="21"/>
      <c r="J8" s="21">
        <f>MAX((J5+J6),0)</f>
        <v>413.54006326864231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0.20056945357143041</v>
      </c>
      <c r="C10" s="31">
        <f ca="1">'EF ele_warmte'!B22</f>
        <v>1.6634185171968926E-3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928.72542230365502</v>
      </c>
      <c r="C12" s="23">
        <f ca="1">C8*C10</f>
        <v>0</v>
      </c>
      <c r="D12" s="23">
        <f>D8*D10</f>
        <v>607.08587200800014</v>
      </c>
      <c r="E12" s="23">
        <f>E8*E10</f>
        <v>11.007457350948769</v>
      </c>
      <c r="F12" s="23">
        <f>F8*F10</f>
        <v>6349.9789046809356</v>
      </c>
      <c r="G12" s="23"/>
      <c r="H12" s="23"/>
      <c r="I12" s="23"/>
      <c r="J12" s="23">
        <f>J8*J10</f>
        <v>146.39318239709937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0.71271456176793602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420.3193647118926</v>
      </c>
      <c r="C26" s="248">
        <f>B26*'GWP N2O_CH4'!B5</f>
        <v>8826.7066589497445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456.52712478643951</v>
      </c>
      <c r="C27" s="248">
        <f>B27*'GWP N2O_CH4'!B5</f>
        <v>9587.069620515229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6.5790192538650212</v>
      </c>
      <c r="C28" s="248">
        <f>B28*'GWP N2O_CH4'!B4</f>
        <v>2039.4959686981565</v>
      </c>
      <c r="D28" s="50"/>
    </row>
    <row r="29" spans="1:4">
      <c r="A29" s="41" t="s">
        <v>278</v>
      </c>
      <c r="B29" s="248">
        <f>B34*'ha_N2O bodem landbouw'!B4</f>
        <v>23.977171204880545</v>
      </c>
      <c r="C29" s="248">
        <f>B29*'GWP N2O_CH4'!B4</f>
        <v>7432.9230735129686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3.9625424505016745E-3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1.9764135328319793E-6</v>
      </c>
      <c r="C5" s="446" t="s">
        <v>212</v>
      </c>
      <c r="D5" s="431">
        <f>SUM(D6:D11)</f>
        <v>1.0560477339091679E-5</v>
      </c>
      <c r="E5" s="431">
        <f>SUM(E6:E11)</f>
        <v>1.057058955580495E-3</v>
      </c>
      <c r="F5" s="444" t="s">
        <v>212</v>
      </c>
      <c r="G5" s="431">
        <f>SUM(G6:G11)</f>
        <v>0.22866136537005374</v>
      </c>
      <c r="H5" s="431">
        <f>SUM(H6:H11)</f>
        <v>3.4909262919036024E-2</v>
      </c>
      <c r="I5" s="446" t="s">
        <v>212</v>
      </c>
      <c r="J5" s="446" t="s">
        <v>212</v>
      </c>
      <c r="K5" s="446" t="s">
        <v>212</v>
      </c>
      <c r="L5" s="446" t="s">
        <v>212</v>
      </c>
      <c r="M5" s="431">
        <f>SUM(M6:M11)</f>
        <v>1.1489202246640079E-2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1.3803223539390023E-6</v>
      </c>
      <c r="C6" s="432"/>
      <c r="D6" s="432">
        <f>vkm_2011_GW_PW*SUMIFS(TableVerdeelsleutelVkm[CNG],TableVerdeelsleutelVkm[Voertuigtype],"Lichte voertuigen")*SUMIFS(TableECFTransport[EnergieConsumptieFactor (PJ per km)],TableECFTransport[Index],CONCATENATE($A6,"_CNG_CNG"))</f>
        <v>5.9504092193377691E-6</v>
      </c>
      <c r="E6" s="434">
        <f>vkm_2011_GW_PW*SUMIFS(TableVerdeelsleutelVkm[LPG],TableVerdeelsleutelVkm[Voertuigtype],"Lichte voertuigen")*SUMIFS(TableECFTransport[EnergieConsumptieFactor (PJ per km)],TableECFTransport[Index],CONCATENATE($A6,"_LPG_LPG"))</f>
        <v>6.1910356832742101E-4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7.6151438516227507E-2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2.0049095673533815E-2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4.2159686112305458E-3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5.8912280970546793E-2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2.0200204759191461E-5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2.5449001554545825E-3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5.9609117889297694E-7</v>
      </c>
      <c r="C8" s="432"/>
      <c r="D8" s="434">
        <f>vkm_2011_NGW_PW*SUMIFS(TableVerdeelsleutelVkm[CNG],TableVerdeelsleutelVkm[Voertuigtype],"Lichte voertuigen")*SUMIFS(TableECFTransport[EnergieConsumptieFactor (PJ per km)],TableECFTransport[Index],CONCATENATE($A8,"_CNG_CNG"))</f>
        <v>4.6100681197539095E-6</v>
      </c>
      <c r="E8" s="434">
        <f>vkm_2011_NGW_PW*SUMIFS(TableVerdeelsleutelVkm[LPG],TableVerdeelsleutelVkm[Voertuigtype],"Lichte voertuigen")*SUMIFS(TableECFTransport[EnergieConsumptieFactor (PJ per km)],TableECFTransport[Index],CONCATENATE($A8,"_LPG_LPG"))</f>
        <v>4.3795538725307397E-4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5.1094198031815127E-2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1.48273063802395E-2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2.8923526843756572E-3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4.2503447851464281E-2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1.2660660503518549E-5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1.8359807955792922E-3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0.54900375911999422</v>
      </c>
      <c r="C14" s="21"/>
      <c r="D14" s="21">
        <f t="shared" ref="D14:M14" si="0">((D5)*10^9/3600)+D12</f>
        <v>2.9334659275254662</v>
      </c>
      <c r="E14" s="21">
        <f t="shared" si="0"/>
        <v>293.62748766124861</v>
      </c>
      <c r="F14" s="21"/>
      <c r="G14" s="21">
        <f t="shared" si="0"/>
        <v>63517.045936126036</v>
      </c>
      <c r="H14" s="21">
        <f t="shared" si="0"/>
        <v>9697.0174775100058</v>
      </c>
      <c r="I14" s="21"/>
      <c r="J14" s="21"/>
      <c r="K14" s="21"/>
      <c r="L14" s="21"/>
      <c r="M14" s="21">
        <f t="shared" si="0"/>
        <v>3191.4450685111328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0.20056945357143041</v>
      </c>
      <c r="C16" s="56">
        <f ca="1">'EF ele_warmte'!B22</f>
        <v>1.6634185171968926E-3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0.11011338397535844</v>
      </c>
      <c r="C18" s="23"/>
      <c r="D18" s="23">
        <f t="shared" ref="D18:M18" si="1">D14*D16</f>
        <v>0.59256011736014425</v>
      </c>
      <c r="E18" s="23">
        <f t="shared" si="1"/>
        <v>66.65343969910343</v>
      </c>
      <c r="F18" s="23"/>
      <c r="G18" s="23">
        <f t="shared" si="1"/>
        <v>16959.051264945654</v>
      </c>
      <c r="H18" s="23">
        <f t="shared" si="1"/>
        <v>2414.5573518999913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2.1237420204839809E-3</v>
      </c>
      <c r="H50" s="322">
        <f t="shared" si="2"/>
        <v>0</v>
      </c>
      <c r="I50" s="322">
        <f t="shared" si="2"/>
        <v>0</v>
      </c>
      <c r="J50" s="322">
        <f t="shared" si="2"/>
        <v>0</v>
      </c>
      <c r="K50" s="322">
        <f t="shared" si="2"/>
        <v>0</v>
      </c>
      <c r="L50" s="322">
        <f t="shared" si="2"/>
        <v>0</v>
      </c>
      <c r="M50" s="322">
        <f t="shared" si="2"/>
        <v>9.0525895785790195E-5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2.1237420204839809E-3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9.0525895785790195E-5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589.92833902332802</v>
      </c>
      <c r="H54" s="21">
        <f t="shared" si="3"/>
        <v>0</v>
      </c>
      <c r="I54" s="21">
        <f t="shared" si="3"/>
        <v>0</v>
      </c>
      <c r="J54" s="21">
        <f t="shared" si="3"/>
        <v>0</v>
      </c>
      <c r="K54" s="21">
        <f t="shared" si="3"/>
        <v>0</v>
      </c>
      <c r="L54" s="21">
        <f t="shared" si="3"/>
        <v>0</v>
      </c>
      <c r="M54" s="21">
        <f t="shared" si="3"/>
        <v>25.146082162719498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0.20056945357143041</v>
      </c>
      <c r="C56" s="56">
        <f ca="1">'EF ele_warmte'!B22</f>
        <v>1.6634185171968926E-3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157.51086651922859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4182.4804274219896</v>
      </c>
      <c r="C6" s="1124"/>
      <c r="D6" s="1127"/>
      <c r="E6" s="1127"/>
      <c r="F6" s="1130"/>
      <c r="G6" s="1133"/>
      <c r="H6" s="1121"/>
      <c r="I6" s="1127"/>
      <c r="J6" s="1127"/>
      <c r="K6" s="1127"/>
      <c r="L6" s="1157"/>
      <c r="M6" s="559"/>
      <c r="N6" s="1169"/>
      <c r="O6" s="1170"/>
      <c r="Q6" s="557"/>
      <c r="R6" s="1154"/>
      <c r="S6" s="1154"/>
    </row>
    <row r="7" spans="1:19" s="547" customFormat="1">
      <c r="A7" s="560" t="s">
        <v>253</v>
      </c>
      <c r="B7" s="561">
        <f>N57</f>
        <v>4821.75</v>
      </c>
      <c r="C7" s="562">
        <f>B100</f>
        <v>39.705882352941174</v>
      </c>
      <c r="D7" s="563"/>
      <c r="E7" s="563">
        <f>E100</f>
        <v>0</v>
      </c>
      <c r="F7" s="564"/>
      <c r="G7" s="565"/>
      <c r="H7" s="563">
        <f>I100</f>
        <v>0</v>
      </c>
      <c r="I7" s="563">
        <f>G100+F100</f>
        <v>0</v>
      </c>
      <c r="J7" s="563">
        <f>H100+D100+C100</f>
        <v>5632.9411764705883</v>
      </c>
      <c r="K7" s="563"/>
      <c r="L7" s="566"/>
      <c r="M7" s="567">
        <f>C7*$C$11+D7*$D$11+E7*$E$11+F7*$F$11+G7*$G$11+H7*$H$11+I7*$I$11+J7*$J$11</f>
        <v>8.0205882352941185</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9004.2304274219896</v>
      </c>
      <c r="C9" s="578">
        <f t="shared" ref="C9:L9" si="0">SUM(C7:C8)</f>
        <v>39.705882352941174</v>
      </c>
      <c r="D9" s="578">
        <f t="shared" si="0"/>
        <v>0</v>
      </c>
      <c r="E9" s="578">
        <f t="shared" si="0"/>
        <v>0</v>
      </c>
      <c r="F9" s="578">
        <f t="shared" si="0"/>
        <v>0</v>
      </c>
      <c r="G9" s="578">
        <f t="shared" si="0"/>
        <v>0</v>
      </c>
      <c r="H9" s="578">
        <f t="shared" si="0"/>
        <v>0</v>
      </c>
      <c r="I9" s="578">
        <f t="shared" si="0"/>
        <v>0</v>
      </c>
      <c r="J9" s="578">
        <f t="shared" si="0"/>
        <v>5632.9411764705883</v>
      </c>
      <c r="K9" s="578">
        <f t="shared" si="0"/>
        <v>0</v>
      </c>
      <c r="L9" s="578">
        <f t="shared" si="0"/>
        <v>0</v>
      </c>
      <c r="M9" s="579">
        <f>SUM(M4:M8)</f>
        <v>8.0205882352941185</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6888.2142857142853</v>
      </c>
      <c r="C16" s="594">
        <f>B101</f>
        <v>56.722689075630242</v>
      </c>
      <c r="D16" s="595"/>
      <c r="E16" s="595">
        <f>E101</f>
        <v>0</v>
      </c>
      <c r="F16" s="596"/>
      <c r="G16" s="597"/>
      <c r="H16" s="594">
        <f>I101</f>
        <v>0</v>
      </c>
      <c r="I16" s="595">
        <f>G101+F101</f>
        <v>0</v>
      </c>
      <c r="J16" s="595">
        <f>H101+D101+C101</f>
        <v>8047.0588235294108</v>
      </c>
      <c r="K16" s="595"/>
      <c r="L16" s="598"/>
      <c r="M16" s="599">
        <f>C16*$C$21+E16*$E$21+H16*$H$21+I16*$I$21+J16*$J$21+D16*$D$21+F16*$F$21+G16*$G$21+K16*$K$21+L16*$L$21</f>
        <v>11.457983193277309</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6888.2142857142853</v>
      </c>
      <c r="C19" s="577">
        <f>SUM(C16:C18)</f>
        <v>56.722689075630242</v>
      </c>
      <c r="D19" s="577">
        <f t="shared" ref="D19:M19" si="1">SUM(D16:D18)</f>
        <v>0</v>
      </c>
      <c r="E19" s="577">
        <f t="shared" si="1"/>
        <v>0</v>
      </c>
      <c r="F19" s="577">
        <f t="shared" si="1"/>
        <v>0</v>
      </c>
      <c r="G19" s="577">
        <f t="shared" si="1"/>
        <v>0</v>
      </c>
      <c r="H19" s="577">
        <f t="shared" si="1"/>
        <v>0</v>
      </c>
      <c r="I19" s="577">
        <f t="shared" si="1"/>
        <v>0</v>
      </c>
      <c r="J19" s="577">
        <f t="shared" si="1"/>
        <v>8047.0588235294108</v>
      </c>
      <c r="K19" s="577">
        <f t="shared" si="1"/>
        <v>0</v>
      </c>
      <c r="L19" s="577">
        <f t="shared" si="1"/>
        <v>0</v>
      </c>
      <c r="M19" s="604">
        <f t="shared" si="1"/>
        <v>11.457983193277309</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36006</v>
      </c>
      <c r="C27" s="839">
        <v>8830</v>
      </c>
      <c r="D27" s="656" t="s">
        <v>894</v>
      </c>
      <c r="E27" s="655" t="s">
        <v>895</v>
      </c>
      <c r="F27" s="655" t="s">
        <v>896</v>
      </c>
      <c r="G27" s="655" t="s">
        <v>897</v>
      </c>
      <c r="H27" s="655" t="s">
        <v>898</v>
      </c>
      <c r="I27" s="655" t="s">
        <v>895</v>
      </c>
      <c r="J27" s="838">
        <v>40673</v>
      </c>
      <c r="K27" s="838">
        <v>40725</v>
      </c>
      <c r="L27" s="655" t="s">
        <v>899</v>
      </c>
      <c r="M27" s="655">
        <v>18</v>
      </c>
      <c r="N27" s="655">
        <v>33.75</v>
      </c>
      <c r="O27" s="655">
        <v>48.214285714285715</v>
      </c>
      <c r="P27" s="655">
        <v>96.428571428571431</v>
      </c>
      <c r="Q27" s="655">
        <v>0</v>
      </c>
      <c r="R27" s="655">
        <v>0</v>
      </c>
      <c r="S27" s="655">
        <v>0</v>
      </c>
      <c r="T27" s="655">
        <v>0</v>
      </c>
      <c r="U27" s="655">
        <v>0</v>
      </c>
      <c r="V27" s="655">
        <v>0</v>
      </c>
      <c r="W27" s="655">
        <v>0</v>
      </c>
      <c r="X27" s="655">
        <v>1600</v>
      </c>
      <c r="Y27" s="655" t="s">
        <v>50</v>
      </c>
      <c r="Z27" s="657" t="s">
        <v>156</v>
      </c>
    </row>
    <row r="28" spans="1:26" s="609" customFormat="1" ht="63.75">
      <c r="A28" s="608"/>
      <c r="B28" s="839">
        <v>36006</v>
      </c>
      <c r="C28" s="839">
        <v>8830</v>
      </c>
      <c r="D28" s="656" t="s">
        <v>900</v>
      </c>
      <c r="E28" s="655" t="s">
        <v>901</v>
      </c>
      <c r="F28" s="655" t="s">
        <v>902</v>
      </c>
      <c r="G28" s="655" t="s">
        <v>897</v>
      </c>
      <c r="H28" s="655" t="s">
        <v>898</v>
      </c>
      <c r="I28" s="655" t="s">
        <v>901</v>
      </c>
      <c r="J28" s="838">
        <v>40711</v>
      </c>
      <c r="K28" s="838">
        <v>39083</v>
      </c>
      <c r="L28" s="655" t="s">
        <v>899</v>
      </c>
      <c r="M28" s="655">
        <v>1064</v>
      </c>
      <c r="N28" s="655">
        <v>4788</v>
      </c>
      <c r="O28" s="655">
        <v>6840</v>
      </c>
      <c r="P28" s="655">
        <v>0</v>
      </c>
      <c r="Q28" s="655">
        <v>13680</v>
      </c>
      <c r="R28" s="655">
        <v>0</v>
      </c>
      <c r="S28" s="655">
        <v>0</v>
      </c>
      <c r="T28" s="655">
        <v>0</v>
      </c>
      <c r="U28" s="655">
        <v>0</v>
      </c>
      <c r="V28" s="655">
        <v>0</v>
      </c>
      <c r="W28" s="655">
        <v>0</v>
      </c>
      <c r="X28" s="655">
        <v>1600</v>
      </c>
      <c r="Y28" s="655" t="s">
        <v>50</v>
      </c>
      <c r="Z28" s="657" t="s">
        <v>156</v>
      </c>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1082</v>
      </c>
      <c r="N57" s="613">
        <f>SUM(N27:N56)</f>
        <v>4821.75</v>
      </c>
      <c r="O57" s="613">
        <f t="shared" ref="O57:W57" si="2">SUM(O27:O56)</f>
        <v>6888.2142857142853</v>
      </c>
      <c r="P57" s="613">
        <f t="shared" si="2"/>
        <v>96.428571428571431</v>
      </c>
      <c r="Q57" s="613">
        <f t="shared" si="2"/>
        <v>13680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1082</v>
      </c>
      <c r="N59" s="613">
        <f ca="1">SUMIF($Z$27:AB56,"tertiair",N27:N56)</f>
        <v>4821.75</v>
      </c>
      <c r="O59" s="613">
        <f ca="1">SUMIF($Z$27:AC56,"tertiair",O27:O56)</f>
        <v>6888.2142857142853</v>
      </c>
      <c r="P59" s="613">
        <f ca="1">SUMIF($Z$27:AD56,"tertiair",P27:P56)</f>
        <v>96.428571428571431</v>
      </c>
      <c r="Q59" s="613">
        <f ca="1">SUMIF($Z$27:AE56,"tertiair",Q27:Q56)</f>
        <v>13680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0.58823529411764697</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39.705882352941174</v>
      </c>
      <c r="C100" s="647">
        <f t="shared" si="9"/>
        <v>5632.9411764705883</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56.722689075630242</v>
      </c>
      <c r="C101" s="650">
        <f t="shared" ref="C101:H101" si="10">$B$97*Q57</f>
        <v>8047.0588235294108</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2018-06-27T09:01:36Z</dcterms:modified>
</cp:coreProperties>
</file>