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C16" i="16" s="1"/>
  <c r="N89" i="18"/>
  <c r="B16" i="16" s="1"/>
  <c r="M89" i="18"/>
  <c r="W88"/>
  <c r="H8" s="1"/>
  <c r="V88"/>
  <c r="U88"/>
  <c r="T88"/>
  <c r="S88"/>
  <c r="E8" s="1"/>
  <c r="F68" i="14" s="1"/>
  <c r="R88" i="18"/>
  <c r="Q88"/>
  <c r="P88"/>
  <c r="C8" s="1"/>
  <c r="D68" i="14" s="1"/>
  <c r="O88" i="1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S58"/>
  <c r="F16" i="16" s="1"/>
  <c r="R58" i="18"/>
  <c r="Q58"/>
  <c r="P58"/>
  <c r="O5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K11"/>
  <c r="J11"/>
  <c r="I11"/>
  <c r="H11"/>
  <c r="G11"/>
  <c r="F11"/>
  <c r="E11"/>
  <c r="D11"/>
  <c r="C11"/>
  <c r="L8"/>
  <c r="L9" s="1"/>
  <c r="K8"/>
  <c r="K9" s="1"/>
  <c r="I8"/>
  <c r="G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B11"/>
  <c r="D10"/>
  <c r="D9"/>
  <c r="E8"/>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Q12"/>
  <c r="B12"/>
  <c r="N11"/>
  <c r="L11"/>
  <c r="K11"/>
  <c r="J11"/>
  <c r="H11"/>
  <c r="G11"/>
  <c r="F11"/>
  <c r="P9"/>
  <c r="O9"/>
  <c r="N9"/>
  <c r="L9"/>
  <c r="K9"/>
  <c r="J9"/>
  <c r="I9"/>
  <c r="F9"/>
  <c r="C9"/>
  <c r="M8"/>
  <c r="K8"/>
  <c r="I8"/>
  <c r="H8"/>
  <c r="G8"/>
  <c r="P7"/>
  <c r="O7"/>
  <c r="M7"/>
  <c r="K7"/>
  <c r="I7"/>
  <c r="H7"/>
  <c r="G7"/>
  <c r="M4"/>
  <c r="L4"/>
  <c r="K4"/>
  <c r="I4"/>
  <c r="H4"/>
  <c r="G4"/>
  <c r="M79" i="14"/>
  <c r="E79"/>
  <c r="B79"/>
  <c r="M78"/>
  <c r="L78"/>
  <c r="H78"/>
  <c r="G78"/>
  <c r="E78"/>
  <c r="L68"/>
  <c r="J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D8" i="17" l="1"/>
  <c r="D7" i="48" s="1"/>
  <c r="D24" s="1"/>
  <c r="B16" i="18"/>
  <c r="B78" i="14" s="1"/>
  <c r="C18" i="16"/>
  <c r="C8" i="48" s="1"/>
  <c r="N16" i="16"/>
  <c r="D16"/>
  <c r="O80" i="14"/>
  <c r="J8" i="18"/>
  <c r="K68" i="14" s="1"/>
  <c r="H68"/>
  <c r="C97" i="18"/>
  <c r="I100" s="1"/>
  <c r="H7" s="1"/>
  <c r="I67" i="14" s="1"/>
  <c r="F13" i="15"/>
  <c r="D6" i="17"/>
  <c r="D12" i="22"/>
  <c r="E17" i="14"/>
  <c r="D13" i="48"/>
  <c r="D30" s="1"/>
  <c r="D31" i="20"/>
  <c r="E43" i="14" s="1"/>
  <c r="I101" i="18"/>
  <c r="H16" s="1"/>
  <c r="I78" i="14" s="1"/>
  <c r="E101" i="18"/>
  <c r="E16" s="1"/>
  <c r="F78" i="14" s="1"/>
  <c r="F101" i="18"/>
  <c r="H101"/>
  <c r="D101"/>
  <c r="G101"/>
  <c r="C101"/>
  <c r="B101"/>
  <c r="C16" s="1"/>
  <c r="D78" i="14" s="1"/>
  <c r="O78" s="1"/>
  <c r="E12" i="22"/>
  <c r="F17" i="14"/>
  <c r="E13" i="48"/>
  <c r="B12" i="22"/>
  <c r="C17" i="14"/>
  <c r="B13" i="48"/>
  <c r="B13" i="16"/>
  <c r="C35"/>
  <c r="C64" i="14"/>
  <c r="D11" i="48"/>
  <c r="D14" i="15"/>
  <c r="K19" i="19"/>
  <c r="L35" i="14" s="1"/>
  <c r="I19" i="19"/>
  <c r="J35" i="14" s="1"/>
  <c r="B6" i="48"/>
  <c r="Q6" s="1"/>
  <c r="P22" i="16"/>
  <c r="Q39" i="14" s="1"/>
  <c r="P18" i="16"/>
  <c r="P8" i="48" s="1"/>
  <c r="P25" s="1"/>
  <c r="J8" i="17"/>
  <c r="J7" i="48" s="1"/>
  <c r="J24" s="1"/>
  <c r="G19" i="18"/>
  <c r="K19"/>
  <c r="L16" i="16"/>
  <c r="L18" s="1"/>
  <c r="N6" i="17"/>
  <c r="G100" i="18"/>
  <c r="B81" i="14"/>
  <c r="F100" i="18"/>
  <c r="E31" i="20"/>
  <c r="F43" i="14" s="1"/>
  <c r="H14" i="22"/>
  <c r="F8" i="17"/>
  <c r="G22" i="14" s="1"/>
  <c r="D100" i="18"/>
  <c r="H100"/>
  <c r="B100"/>
  <c r="C7" s="1"/>
  <c r="D67" i="14" s="1"/>
  <c r="E9"/>
  <c r="J9"/>
  <c r="J15" s="1"/>
  <c r="N9"/>
  <c r="I11" i="48"/>
  <c r="M11"/>
  <c r="M19" i="19"/>
  <c r="N35" i="14" s="1"/>
  <c r="J7" i="15"/>
  <c r="O5" i="16"/>
  <c r="B7" i="18"/>
  <c r="B67" i="14" s="1"/>
  <c r="C80"/>
  <c r="C16" i="15"/>
  <c r="D10" i="14" s="1"/>
  <c r="L6" i="17"/>
  <c r="E100" i="18"/>
  <c r="E7" s="1"/>
  <c r="F67" i="14" s="1"/>
  <c r="F69" s="1"/>
  <c r="N13" i="15"/>
  <c r="L13"/>
  <c r="L16" s="1"/>
  <c r="K5" i="48"/>
  <c r="K22" s="1"/>
  <c r="K20" i="15"/>
  <c r="L36" i="14" s="1"/>
  <c r="G27" i="20"/>
  <c r="G12" i="22" s="1"/>
  <c r="G7"/>
  <c r="G10"/>
  <c r="G6"/>
  <c r="G9"/>
  <c r="G11"/>
  <c r="G8"/>
  <c r="M7"/>
  <c r="M10"/>
  <c r="M8"/>
  <c r="M11"/>
  <c r="M9"/>
  <c r="M6"/>
  <c r="L18" i="14"/>
  <c r="L20" s="1"/>
  <c r="P10" i="48"/>
  <c r="P27" s="1"/>
  <c r="Q18" i="14"/>
  <c r="Q20" s="1"/>
  <c r="G18"/>
  <c r="M27" i="20"/>
  <c r="J11" i="15"/>
  <c r="N7"/>
  <c r="B11"/>
  <c r="N11"/>
  <c r="F11"/>
  <c r="B38" i="13"/>
  <c r="B50" s="1"/>
  <c r="B7" i="15"/>
  <c r="I10" i="48"/>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I17" i="14"/>
  <c r="H13" i="48"/>
  <c r="H30" s="1"/>
  <c r="H31" i="20"/>
  <c r="I43" i="14" s="1"/>
  <c r="G31" i="20"/>
  <c r="H43" i="14" s="1"/>
  <c r="C78" i="22"/>
  <c r="E7" i="15"/>
  <c r="Q9" i="14"/>
  <c r="G5" i="48"/>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H15"/>
  <c r="L15"/>
  <c r="M46"/>
  <c r="H69"/>
  <c r="P20"/>
  <c r="K20"/>
  <c r="G20"/>
  <c r="L69"/>
  <c r="D5" i="15"/>
  <c r="D16" s="1"/>
  <c r="B8"/>
  <c r="J8"/>
  <c r="F12"/>
  <c r="I20"/>
  <c r="J36" i="14" s="1"/>
  <c r="J41" s="1"/>
  <c r="B9" i="16"/>
  <c r="N9"/>
  <c r="E8" i="15"/>
  <c r="B10"/>
  <c r="E9" i="16"/>
  <c r="F12" i="17"/>
  <c r="G48" i="14" s="1"/>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D5"/>
  <c r="B5"/>
  <c r="P11" i="48"/>
  <c r="P28" s="1"/>
  <c r="I5"/>
  <c r="I22" s="1"/>
  <c r="K28"/>
  <c r="H5"/>
  <c r="O11"/>
  <c r="P9" i="14"/>
  <c r="M5" i="48"/>
  <c r="G28"/>
  <c r="C11" i="14"/>
  <c r="B4" i="48"/>
  <c r="E30"/>
  <c r="E29"/>
  <c r="E27"/>
  <c r="I30"/>
  <c r="I27"/>
  <c r="I26"/>
  <c r="I29"/>
  <c r="K26"/>
  <c r="O29"/>
  <c r="K21"/>
  <c r="G21"/>
  <c r="M16"/>
  <c r="M21" s="1"/>
  <c r="K29"/>
  <c r="B39" i="13"/>
  <c r="B51" s="1"/>
  <c r="F5" s="1"/>
  <c r="F8" s="1"/>
  <c r="G11" i="14" s="1"/>
  <c r="I21" i="48"/>
  <c r="K27"/>
  <c r="G29"/>
  <c r="O21"/>
  <c r="H24"/>
  <c r="L16"/>
  <c r="L21" s="1"/>
  <c r="H21"/>
  <c r="K24"/>
  <c r="K25"/>
  <c r="Q11" i="14"/>
  <c r="P12" i="13"/>
  <c r="Q37" i="14" s="1"/>
  <c r="P4" i="48"/>
  <c r="P21" s="1"/>
  <c r="D12" i="13"/>
  <c r="E37" i="14" s="1"/>
  <c r="D4" i="48"/>
  <c r="D21" s="1"/>
  <c r="E11" i="14"/>
  <c r="F23" i="48"/>
  <c r="J23"/>
  <c r="N23"/>
  <c r="N26"/>
  <c r="D28"/>
  <c r="H28"/>
  <c r="L28"/>
  <c r="F30"/>
  <c r="J30"/>
  <c r="N30"/>
  <c r="G23"/>
  <c r="K23"/>
  <c r="O23"/>
  <c r="G25"/>
  <c r="F26"/>
  <c r="J26"/>
  <c r="O26"/>
  <c r="F27"/>
  <c r="I28"/>
  <c r="D29"/>
  <c r="H29"/>
  <c r="P29"/>
  <c r="K30"/>
  <c r="O30"/>
  <c r="C22" i="13"/>
  <c r="C21"/>
  <c r="C20"/>
  <c r="D23" i="48"/>
  <c r="H23"/>
  <c r="P23"/>
  <c r="H25"/>
  <c r="P26"/>
  <c r="F28"/>
  <c r="J28"/>
  <c r="N28"/>
  <c r="P30"/>
  <c r="G22"/>
  <c r="E23"/>
  <c r="I23"/>
  <c r="O24"/>
  <c r="I25"/>
  <c r="P11" i="14"/>
  <c r="O12" i="13"/>
  <c r="P37" i="14" s="1"/>
  <c r="C9" i="18"/>
  <c r="B10" i="48"/>
  <c r="C18" i="14"/>
  <c r="F7" i="48"/>
  <c r="F24" s="1"/>
  <c r="P24"/>
  <c r="E5" i="17"/>
  <c r="C8"/>
  <c r="G24" i="48"/>
  <c r="K14"/>
  <c r="I24"/>
  <c r="G81" i="14"/>
  <c r="D79"/>
  <c r="H79"/>
  <c r="H81" s="1"/>
  <c r="L79"/>
  <c r="L81" s="1"/>
  <c r="F79"/>
  <c r="F81" s="1"/>
  <c r="J79"/>
  <c r="E68"/>
  <c r="E69" s="1"/>
  <c r="I68"/>
  <c r="I69" s="1"/>
  <c r="M68"/>
  <c r="M69" s="1"/>
  <c r="D19" i="18"/>
  <c r="H19"/>
  <c r="L19"/>
  <c r="B68" i="14"/>
  <c r="G68"/>
  <c r="G69" s="1"/>
  <c r="E81"/>
  <c r="M81"/>
  <c r="B19" i="18"/>
  <c r="F19"/>
  <c r="D11" i="14"/>
  <c r="C4" i="48"/>
  <c r="M17" i="18"/>
  <c r="M18"/>
  <c r="D13" i="14"/>
  <c r="M8" i="18" l="1"/>
  <c r="L30" i="48"/>
  <c r="L23"/>
  <c r="B35" i="13"/>
  <c r="J12" i="17"/>
  <c r="K48" i="14" s="1"/>
  <c r="I81"/>
  <c r="E9" i="18"/>
  <c r="Q13" i="14"/>
  <c r="E19" i="18"/>
  <c r="H17" i="14"/>
  <c r="J16" i="18"/>
  <c r="K78" i="14" s="1"/>
  <c r="K81" s="1"/>
  <c r="L5" i="17"/>
  <c r="L8" s="1"/>
  <c r="N8"/>
  <c r="N5"/>
  <c r="L29" i="48"/>
  <c r="H9" i="18"/>
  <c r="M28" i="48"/>
  <c r="C100" i="18"/>
  <c r="I16"/>
  <c r="D81" i="14"/>
  <c r="O79"/>
  <c r="O81" s="1"/>
  <c r="B17" i="6" s="1"/>
  <c r="M23" i="48"/>
  <c r="L27"/>
  <c r="B9" i="18"/>
  <c r="M31" i="20"/>
  <c r="N43" i="14" s="1"/>
  <c r="M12" i="22"/>
  <c r="O18" i="16"/>
  <c r="B34" i="13"/>
  <c r="B46" s="1"/>
  <c r="E5" s="1"/>
  <c r="E8" s="1"/>
  <c r="E12" s="1"/>
  <c r="F37" i="14" s="1"/>
  <c r="I7" i="18"/>
  <c r="K22" i="14"/>
  <c r="M13"/>
  <c r="L8" i="48"/>
  <c r="L25" s="1"/>
  <c r="L22" i="16"/>
  <c r="M39" i="14" s="1"/>
  <c r="J19" i="18"/>
  <c r="C7" i="48"/>
  <c r="D22" i="14"/>
  <c r="M22" i="48"/>
  <c r="B36" i="13"/>
  <c r="J7" i="18"/>
  <c r="O68" i="14"/>
  <c r="C68"/>
  <c r="F22"/>
  <c r="E8" i="17"/>
  <c r="D69" i="14"/>
  <c r="O67"/>
  <c r="D8" i="48"/>
  <c r="D25" s="1"/>
  <c r="D18" i="16"/>
  <c r="D22" s="1"/>
  <c r="E39" i="14" s="1"/>
  <c r="C79"/>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M5" i="22"/>
  <c r="G5"/>
  <c r="G14" s="1"/>
  <c r="I14" i="48"/>
  <c r="E5" i="15"/>
  <c r="O20"/>
  <c r="P36" i="14" s="1"/>
  <c r="P10"/>
  <c r="P20" i="15"/>
  <c r="Q36" i="14" s="1"/>
  <c r="Q41" s="1"/>
  <c r="Q53" s="1"/>
  <c r="Q10"/>
  <c r="J5" i="15"/>
  <c r="F4" i="48"/>
  <c r="F21" s="1"/>
  <c r="B69" i="14"/>
  <c r="B4" i="6" s="1"/>
  <c r="D15" i="14"/>
  <c r="J23"/>
  <c r="L53"/>
  <c r="L23"/>
  <c r="J53"/>
  <c r="D20" i="15"/>
  <c r="E10" i="14"/>
  <c r="F5" i="15"/>
  <c r="F16" s="1"/>
  <c r="B5"/>
  <c r="B16" s="1"/>
  <c r="E13" i="14"/>
  <c r="B5" i="16"/>
  <c r="B18" s="1"/>
  <c r="C13" i="14" s="1"/>
  <c r="N5" i="15"/>
  <c r="N16" s="1"/>
  <c r="F12" i="13"/>
  <c r="G37" i="14" s="1"/>
  <c r="P5" i="48"/>
  <c r="P22" s="1"/>
  <c r="P31" s="1"/>
  <c r="F13" i="16"/>
  <c r="E13"/>
  <c r="N13"/>
  <c r="J13"/>
  <c r="B47" i="13"/>
  <c r="N12" i="16"/>
  <c r="J12"/>
  <c r="F12"/>
  <c r="E12"/>
  <c r="Q11" i="48"/>
  <c r="O5"/>
  <c r="R9" i="14"/>
  <c r="C19"/>
  <c r="C20" s="1"/>
  <c r="E19"/>
  <c r="E20" s="1"/>
  <c r="O28" i="48"/>
  <c r="H22"/>
  <c r="D5"/>
  <c r="D22" s="1"/>
  <c r="K31"/>
  <c r="L26"/>
  <c r="B48" i="13"/>
  <c r="C48" s="1"/>
  <c r="N5" s="1"/>
  <c r="N8" s="1"/>
  <c r="N4" i="48" s="1"/>
  <c r="N21" s="1"/>
  <c r="M29"/>
  <c r="M25"/>
  <c r="M24"/>
  <c r="I31"/>
  <c r="C50" i="13"/>
  <c r="J5" s="1"/>
  <c r="J8" s="1"/>
  <c r="E7" i="48"/>
  <c r="E24" s="1"/>
  <c r="E12" i="17"/>
  <c r="F48" i="14" s="1"/>
  <c r="C5" i="48"/>
  <c r="L7" l="1"/>
  <c r="L24" s="1"/>
  <c r="M22" i="14"/>
  <c r="L12" i="17"/>
  <c r="M48" i="14" s="1"/>
  <c r="C14" i="48"/>
  <c r="Q15" i="14"/>
  <c r="Q23" s="1"/>
  <c r="Q55" s="1"/>
  <c r="Q13" i="48"/>
  <c r="J78" i="14"/>
  <c r="I19" i="18"/>
  <c r="O22" i="14"/>
  <c r="N12" i="17"/>
  <c r="O48" i="14" s="1"/>
  <c r="N7" i="48"/>
  <c r="N24" s="1"/>
  <c r="M16" i="18"/>
  <c r="M19" s="1"/>
  <c r="R22" i="14"/>
  <c r="E20" i="15"/>
  <c r="F36" i="14" s="1"/>
  <c r="E16" i="15"/>
  <c r="K67" i="14"/>
  <c r="K69" s="1"/>
  <c r="J9" i="18"/>
  <c r="J67" i="14"/>
  <c r="I9" i="18"/>
  <c r="M7"/>
  <c r="M9" s="1"/>
  <c r="K10" i="14"/>
  <c r="J16" i="15"/>
  <c r="J20" s="1"/>
  <c r="K36" i="14" s="1"/>
  <c r="O8" i="48"/>
  <c r="O25" s="1"/>
  <c r="P13" i="14"/>
  <c r="P15" s="1"/>
  <c r="P23" s="1"/>
  <c r="M14" i="22"/>
  <c r="N19" i="14"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E5"/>
  <c r="E22" s="1"/>
  <c r="P14"/>
  <c r="F10" i="14"/>
  <c r="B8" i="48"/>
  <c r="E15" i="14"/>
  <c r="E23" s="1"/>
  <c r="J55"/>
  <c r="L55"/>
  <c r="E36"/>
  <c r="E41" s="1"/>
  <c r="N20" i="15"/>
  <c r="O36" i="14" s="1"/>
  <c r="O10"/>
  <c r="L5" i="48"/>
  <c r="L22" s="1"/>
  <c r="M10" i="14"/>
  <c r="M15" s="1"/>
  <c r="F20" i="15"/>
  <c r="G36" i="14" s="1"/>
  <c r="G10"/>
  <c r="C10"/>
  <c r="B5" i="48"/>
  <c r="D23" i="14"/>
  <c r="B20" i="6" s="1"/>
  <c r="B22" s="1"/>
  <c r="N5" i="16"/>
  <c r="F5" i="48"/>
  <c r="F22" s="1"/>
  <c r="E5" i="16"/>
  <c r="J5"/>
  <c r="C35" i="13"/>
  <c r="F5" i="16"/>
  <c r="C36" i="13"/>
  <c r="O22" i="48"/>
  <c r="I55" i="14"/>
  <c r="D14" i="48"/>
  <c r="N12" i="13"/>
  <c r="O37" i="14" s="1"/>
  <c r="O11"/>
  <c r="C38" i="13"/>
  <c r="C39"/>
  <c r="C32"/>
  <c r="C34"/>
  <c r="E4" i="48"/>
  <c r="E21" s="1"/>
  <c r="F11" i="14"/>
  <c r="J4" i="48"/>
  <c r="J12" i="13"/>
  <c r="K37" i="14" s="1"/>
  <c r="K11"/>
  <c r="N5" i="48"/>
  <c r="L20" i="15"/>
  <c r="J5" i="48" l="1"/>
  <c r="J22" s="1"/>
  <c r="M18" i="22"/>
  <c r="N45" i="14" s="1"/>
  <c r="C78"/>
  <c r="C81" s="1"/>
  <c r="J81"/>
  <c r="Q7" i="48"/>
  <c r="L31"/>
  <c r="M9"/>
  <c r="M26" s="1"/>
  <c r="M31" s="1"/>
  <c r="P55" i="14"/>
  <c r="O31" i="48"/>
  <c r="J18" i="16"/>
  <c r="J8" i="48" s="1"/>
  <c r="J25" s="1"/>
  <c r="N18" i="16"/>
  <c r="N8" i="48" s="1"/>
  <c r="E18" i="16"/>
  <c r="E22" s="1"/>
  <c r="F39" i="14" s="1"/>
  <c r="F41" s="1"/>
  <c r="F53" s="1"/>
  <c r="O14" i="48"/>
  <c r="F18" i="16"/>
  <c r="G13" i="14" s="1"/>
  <c r="G15" s="1"/>
  <c r="G23" s="1"/>
  <c r="J69"/>
  <c r="C67"/>
  <c r="C69" s="1"/>
  <c r="B14" i="48"/>
  <c r="R19" i="14"/>
  <c r="N20"/>
  <c r="N23" s="1"/>
  <c r="H46"/>
  <c r="H53" s="1"/>
  <c r="G26" i="48"/>
  <c r="G14"/>
  <c r="G27"/>
  <c r="Q10"/>
  <c r="R18" i="14"/>
  <c r="H20"/>
  <c r="H23" s="1"/>
  <c r="M14" i="48"/>
  <c r="N46" i="14"/>
  <c r="N53" s="1"/>
  <c r="F13"/>
  <c r="F15" s="1"/>
  <c r="F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R10" i="14"/>
  <c r="F8" i="48" l="1"/>
  <c r="F22" i="16"/>
  <c r="G39" i="14" s="1"/>
  <c r="G41" s="1"/>
  <c r="K13"/>
  <c r="K15" s="1"/>
  <c r="K23" s="1"/>
  <c r="Q9" i="48"/>
  <c r="N25"/>
  <c r="N31" s="1"/>
  <c r="N14"/>
  <c r="E8"/>
  <c r="Q8" s="1"/>
  <c r="Q14" s="1"/>
  <c r="J22" i="16"/>
  <c r="K39" i="14" s="1"/>
  <c r="K41" s="1"/>
  <c r="K53" s="1"/>
  <c r="K55" s="1"/>
  <c r="J31" i="48"/>
  <c r="J14"/>
  <c r="R20" i="14"/>
  <c r="N55"/>
  <c r="H55"/>
  <c r="G31" i="48"/>
  <c r="F55" i="14"/>
  <c r="O53"/>
  <c r="G53"/>
  <c r="G55" s="1"/>
  <c r="O69" s="1"/>
  <c r="B9" i="6" s="1"/>
  <c r="B12" s="1"/>
  <c r="M53" i="14"/>
  <c r="M55" s="1"/>
  <c r="C12" i="13"/>
  <c r="D37" i="14" s="1"/>
  <c r="D41" s="1"/>
  <c r="C23" i="48"/>
  <c r="C24"/>
  <c r="C27"/>
  <c r="C28"/>
  <c r="C22"/>
  <c r="C25"/>
  <c r="C29"/>
  <c r="C21"/>
  <c r="C26"/>
  <c r="R13" i="14"/>
  <c r="R15" s="1"/>
  <c r="F25" i="48"/>
  <c r="F31" s="1"/>
  <c r="F14"/>
  <c r="B20" i="16" l="1"/>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<sst xmlns="http://schemas.openxmlformats.org/spreadsheetml/2006/main" count="2029" uniqueCount="894">
  <si>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</si>
  <si>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</si>
  <si>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</si>
  <si>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</si>
  <si>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</si>
  <si>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</si>
  <si>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</si>
  <si>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</si>
  <si>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</si>
  <si>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</si>
  <si>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</si>
  <si>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</si>
  <si>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</si>
  <si>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</si>
  <si>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</si>
  <si>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</si>
  <si>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</si>
  <si>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</si>
  <si>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</si>
  <si>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</si>
  <si>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</si>
  <si>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</si>
  <si>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</si>
  <si>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</si>
  <si>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</si>
  <si>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</si>
  <si>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</si>
  <si>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</si>
  <si>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</si>
  <si>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</si>
  <si>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</si>
  <si>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</si>
  <si>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</si>
  <si>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</si>
  <si>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</si>
  <si>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</si>
  <si>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</si>
  <si>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</si>
  <si>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</si>
  <si>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</si>
  <si>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</si>
  <si>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</si>
  <si>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</si>
  <si>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</si>
  <si>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</si>
  <si>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</si>
  <si>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</si>
  <si>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</si>
  <si>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</si>
  <si>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</si>
  <si>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</si>
  <si>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</si>
  <si>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</si>
  <si>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</si>
  <si>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</si>
  <si>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</si>
  <si>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</si>
  <si>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</si>
  <si>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</si>
  <si>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</si>
  <si>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</si>
  <si>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</si>
  <si>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</si>
  <si>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</si>
  <si>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</si>
  <si>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</si>
  <si>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</si>
  <si>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</si>
  <si>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</si>
  <si>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</si>
  <si>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</si>
  <si>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</si>
  <si>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</si>
  <si>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</si>
  <si>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</si>
  <si>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</si>
  <si>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</si>
  <si>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</si>
  <si>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</si>
  <si>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</si>
  <si>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</si>
  <si>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</si>
  <si>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</si>
  <si>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</si>
  <si>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</si>
  <si>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</si>
  <si>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</si>
  <si>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</si>
  <si>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</si>
  <si>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</si>
  <si>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</si>
  <si>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</si>
  <si>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</si>
  <si>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</si>
  <si>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</si>
  <si>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</si>
  <si>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</si>
  <si>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</si>
  <si>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</si>
  <si>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</si>
  <si>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</si>
  <si>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</si>
  <si>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</si>
  <si>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</si>
  <si>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</si>
  <si>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</si>
  <si>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</si>
  <si>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</si>
  <si>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</si>
  <si>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</si>
  <si>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</si>
  <si>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</si>
  <si>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</si>
  <si>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</si>
  <si>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</si>
  <si>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</si>
  <si>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</si>
  <si>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</si>
  <si>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</si>
  <si>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</si>
  <si>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</si>
  <si>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</si>
  <si>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</si>
  <si>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</si>
  <si>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</si>
  <si>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</si>
  <si>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</si>
  <si>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</si>
  <si>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</si>
  <si>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</si>
  <si>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</si>
  <si>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</si>
  <si>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</si>
  <si>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</si>
  <si>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</si>
  <si>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</si>
  <si>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</si>
  <si>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</si>
  <si>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</si>
  <si>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</si>
  <si>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</si>
  <si>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</si>
  <si>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</si>
  <si>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</si>
  <si>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</si>
  <si>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</si>
  <si>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</si>
  <si>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</si>
  <si>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</si>
  <si>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</si>
  <si>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</si>
  <si>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</si>
  <si>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</si>
  <si>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</si>
  <si>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</si>
  <si>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</si>
  <si>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</si>
  <si>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</si>
  <si>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</si>
  <si>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</si>
  <si>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</si>
  <si>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</si>
  <si>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</si>
  <si>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</si>
  <si>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</si>
  <si>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</si>
  <si>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</si>
  <si>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</si>
  <si>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</si>
  <si>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</si>
  <si>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</si>
  <si>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</si>
  <si>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</si>
  <si>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</si>
  <si>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</si>
  <si>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</si>
  <si>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</si>
  <si>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</si>
  <si>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</si>
  <si>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</si>
  <si>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</si>
  <si>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</si>
  <si>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</si>
  <si>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</si>
  <si>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</si>
  <si>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</si>
  <si>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</si>
  <si>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</si>
  <si>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</si>
  <si>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</si>
  <si>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</si>
  <si>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</si>
  <si>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</si>
  <si>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</si>
  <si>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</si>
  <si>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</si>
  <si>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</si>
  <si>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</si>
  <si>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</si>
  <si>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</si>
  <si>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</si>
  <si>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</si>
  <si>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</si>
  <si>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</si>
  <si>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</si>
  <si>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</si>
  <si>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</si>
  <si>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</si>
  <si>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</si>
  <si>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</si>
  <si>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</si>
  <si>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</si>
  <si>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</si>
  <si>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</si>
  <si>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</si>
  <si>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</si>
  <si>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</si>
  <si>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</si>
  <si>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</si>
  <si>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</si>
  <si>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</si>
  <si>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</si>
  <si>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</si>
  <si>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</si>
  <si>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</si>
  <si>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</si>
  <si>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</si>
  <si>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</si>
  <si>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</si>
  <si>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</si>
  <si>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</si>
  <si>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</si>
  <si>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</si>
  <si>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</si>
  <si>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</si>
  <si>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</si>
  <si>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</si>
  <si>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</si>
  <si>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</si>
  <si>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</si>
  <si>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</si>
  <si>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</si>
  <si>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</si>
  <si>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</si>
  <si>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</si>
  <si>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</si>
  <si>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</si>
  <si>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</si>
  <si>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</si>
  <si>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</si>
  <si>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</si>
  <si>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</si>
  <si>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</si>
  <si>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</si>
  <si>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</si>
  <si>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</si>
  <si>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</si>
  <si>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</si>
  <si>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</si>
  <si>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</si>
  <si>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</si>
  <si>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</si>
  <si>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</si>
  <si>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</si>
  <si>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</si>
  <si>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</si>
  <si>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</si>
  <si>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</si>
  <si>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</si>
  <si>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</si>
  <si>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</si>
  <si>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</si>
  <si>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</si>
  <si>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</si>
  <si>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</si>
  <si>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</si>
  <si>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</si>
  <si>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</si>
  <si>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</si>
  <si>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</si>
  <si>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</si>
  <si>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</si>
  <si>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</si>
  <si>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</si>
  <si>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</si>
  <si>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</si>
  <si>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</si>
  <si>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</si>
  <si>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</si>
  <si>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</si>
  <si>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</si>
  <si>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</si>
  <si>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</si>
  <si>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</si>
  <si>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</si>
  <si>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</si>
  <si>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</si>
  <si>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</si>
  <si>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</si>
  <si>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</si>
  <si>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</si>
  <si>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</si>
  <si>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</si>
  <si>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</si>
  <si>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</si>
  <si>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</si>
  <si>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</si>
  <si>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</si>
  <si>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</si>
  <si>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</si>
  <si>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</si>
  <si>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</si>
  <si>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</si>
  <si>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</si>
  <si>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</si>
  <si>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</si>
  <si>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</si>
  <si>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</si>
  <si>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</si>
  <si>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</si>
  <si>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</si>
  <si>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</si>
  <si>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</si>
  <si>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</si>
  <si>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</si>
  <si>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</si>
  <si>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</si>
  <si>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</si>
  <si>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</si>
  <si>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</si>
  <si>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</si>
  <si>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</si>
  <si>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</si>
  <si>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</si>
  <si>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</si>
  <si>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</si>
  <si>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</si>
  <si>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</si>
  <si>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</si>
  <si>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</si>
  <si>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</si>
  <si>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</si>
  <si>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</si>
  <si>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</si>
  <si>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</si>
  <si>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</si>
  <si>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</si>
  <si>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</si>
  <si>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</si>
  <si>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</si>
  <si>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</si>
  <si>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</si>
  <si>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</si>
  <si>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</si>
  <si>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</si>
  <si>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</si>
  <si>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</si>
  <si>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</si>
  <si>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</si>
  <si>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</si>
  <si>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</si>
  <si>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</si>
  <si>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</si>
  <si>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</si>
  <si>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</si>
  <si>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</si>
  <si>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</si>
  <si>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</si>
  <si>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</si>
  <si>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</si>
  <si>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</si>
  <si>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</si>
  <si>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</si>
  <si>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</si>
  <si>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</si>
  <si>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</si>
  <si>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</si>
  <si>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</si>
  <si>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</si>
  <si>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</si>
  <si>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</si>
  <si>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</si>
  <si>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</si>
  <si>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</si>
  <si>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</si>
  <si>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</si>
  <si>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</si>
  <si>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</si>
  <si>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</si>
  <si>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</si>
  <si>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</si>
  <si>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</si>
  <si>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</si>
  <si>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</si>
  <si>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</si>
  <si>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</si>
  <si>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</si>
  <si>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</si>
  <si>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</si>
  <si>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</si>
  <si>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</si>
  <si>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</si>
  <si>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</si>
  <si>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</si>
  <si>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</si>
  <si>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</si>
  <si>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</si>
  <si>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</si>
  <si>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</si>
  <si>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</si>
  <si>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</si>
  <si>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</si>
  <si>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</si>
  <si>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</si>
  <si>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</si>
  <si>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</si>
  <si>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</si>
  <si>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</si>
  <si>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</si>
  <si>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</si>
  <si>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</si>
  <si>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</si>
  <si>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</si>
  <si>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</si>
  <si>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</si>
  <si>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</si>
  <si>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</si>
  <si>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</si>
  <si>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</si>
  <si>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</si>
  <si>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</si>
  <si>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</si>
  <si>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</si>
  <si>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</si>
  <si>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</si>
  <si>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</si>
  <si>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</si>
  <si>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</si>
  <si>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</si>
  <si>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</si>
  <si>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</si>
  <si>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</si>
  <si>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</si>
  <si>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</si>
  <si>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</si>
  <si>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</si>
  <si>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</si>
  <si>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</si>
  <si>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</si>
  <si>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</si>
  <si>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</si>
  <si>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</si>
  <si>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</si>
  <si>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</si>
  <si>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</si>
  <si>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</si>
  <si>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</si>
  <si>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</si>
  <si>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</si>
  <si>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</si>
  <si>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</si>
  <si>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</si>
  <si>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</si>
  <si>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</si>
  <si>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</si>
  <si>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</si>
  <si>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</si>
  <si>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</si>
  <si>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</si>
  <si>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</si>
  <si>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</si>
  <si>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</si>
  <si>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</si>
  <si>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</si>
  <si>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</si>
  <si>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</si>
  <si>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</si>
  <si>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</si>
  <si>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</si>
  <si>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</si>
  <si>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</si>
  <si>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</si>
  <si>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</si>
  <si>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</si>
  <si>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</si>
  <si>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</si>
  <si>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</si>
  <si>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</si>
  <si>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</si>
  <si>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</si>
  <si>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</si>
  <si>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</si>
  <si>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</si>
  <si>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</si>
  <si>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</si>
  <si>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</si>
  <si>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</si>
  <si>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</si>
  <si>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</si>
  <si>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</si>
  <si>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</si>
  <si>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</si>
  <si>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</si>
  <si>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</si>
  <si>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</si>
  <si>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</si>
  <si>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</si>
  <si>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</si>
  <si>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</si>
  <si>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</si>
  <si>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</si>
  <si>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</si>
  <si>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</si>
  <si>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</si>
  <si>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</si>
  <si>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</si>
  <si>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</si>
  <si>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</si>
  <si>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</si>
  <si>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</si>
  <si>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</si>
  <si>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</si>
  <si>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</si>
  <si>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</si>
  <si>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</si>
  <si>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</si>
  <si>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</si>
  <si>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</si>
  <si>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</si>
  <si>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</si>
  <si>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</si>
  <si>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</si>
  <si>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</si>
  <si>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</si>
  <si>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</si>
  <si>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</si>
  <si>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</si>
  <si>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</si>
  <si>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</si>
  <si>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</si>
  <si>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</si>
  <si>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</si>
  <si>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</si>
  <si>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</si>
  <si>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</si>
  <si>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</si>
  <si>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</si>
  <si>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</si>
  <si>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</si>
  <si>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</si>
  <si>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</si>
  <si>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</si>
  <si>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</si>
  <si>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</si>
  <si>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</si>
  <si>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</si>
  <si>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</si>
  <si>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</si>
  <si>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</si>
  <si>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</si>
  <si>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</si>
  <si>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</si>
  <si>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</si>
  <si>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</si>
  <si>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</si>
  <si>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</si>
  <si>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</si>
  <si>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</si>
  <si>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</si>
  <si>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</si>
  <si>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</si>
  <si>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</si>
  <si>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</si>
  <si>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</si>
  <si>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</si>
  <si>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</si>
  <si>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</si>
  <si>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</si>
  <si>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</si>
  <si>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</si>
  <si>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</si>
  <si>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</si>
  <si>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</si>
  <si>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</si>
  <si>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</si>
  <si>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</si>
  <si>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</si>
  <si>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</si>
  <si>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</si>
  <si>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</si>
  <si>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</si>
  <si>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</si>
  <si>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</si>
  <si>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</si>
  <si>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</si>
  <si>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</si>
  <si>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</si>
  <si>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</si>
  <si>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</si>
  <si>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</si>
  <si>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</si>
  <si>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</si>
  <si>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</si>
  <si>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</si>
  <si>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</si>
  <si>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</si>
  <si>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</si>
  <si>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</si>
  <si>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</si>
  <si>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</si>
  <si>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</si>
  <si>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</si>
  <si>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</si>
  <si>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</si>
  <si>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</si>
  <si>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</si>
  <si>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</si>
  <si>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</si>
  <si>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</si>
  <si>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</si>
  <si>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</si>
  <si>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</si>
  <si>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</si>
  <si>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</si>
  <si>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</si>
  <si>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</si>
  <si>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</si>
  <si>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</si>
  <si>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</si>
  <si>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</si>
  <si>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</si>
  <si>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</si>
  <si>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</si>
  <si>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</si>
  <si>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</si>
  <si>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</si>
  <si>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</si>
  <si>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</si>
  <si>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</si>
  <si>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</si>
  <si>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</si>
  <si>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</si>
  <si>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</si>
  <si>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</si>
  <si>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</si>
  <si>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</si>
  <si>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</si>
  <si>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</si>
  <si>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</si>
  <si>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</si>
  <si>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</si>
  <si>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</si>
  <si>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</si>
  <si>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</si>
  <si>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</si>
  <si>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</si>
  <si>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</si>
  <si>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</si>
  <si>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</si>
  <si>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</si>
  <si>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</si>
  <si>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</si>
  <si>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</si>
  <si>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</si>
  <si>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</si>
  <si>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</si>
  <si>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</si>
  <si>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</si>
  <si>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</si>
  <si>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</si>
  <si>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</si>
  <si>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</si>
  <si>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</si>
  <si>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</si>
  <si>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</si>
  <si>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</si>
  <si>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</si>
  <si>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</si>
  <si>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</si>
  <si>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</si>
  <si>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</si>
  <si>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</si>
  <si>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</si>
  <si>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</si>
  <si>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</si>
  <si>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</si>
  <si>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</si>
  <si>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</si>
  <si>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</si>
  <si>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</si>
  <si>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</si>
  <si>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</si>
  <si>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</si>
  <si>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</si>
  <si>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</si>
  <si>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</si>
  <si>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</si>
  <si>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</si>
  <si>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</si>
  <si>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</si>
  <si>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</si>
  <si>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</si>
  <si>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</si>
  <si>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</si>
  <si>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</si>
  <si>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</si>
  <si>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</si>
  <si>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</si>
  <si>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</si>
  <si>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</si>
  <si>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</si>
  <si>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</si>
  <si>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</si>
  <si>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</si>
  <si>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</si>
  <si>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</si>
  <si>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</si>
  <si>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</si>
  <si>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</si>
  <si>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</si>
  <si>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</si>
  <si>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</si>
  <si>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</si>
  <si>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</si>
  <si>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</si>
  <si>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</si>
  <si>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</si>
  <si>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</si>
  <si>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</si>
  <si>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</si>
  <si>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</si>
  <si>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</si>
  <si>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</si>
  <si>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</si>
  <si>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</si>
  <si>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</si>
  <si>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</si>
  <si>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</si>
  <si>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</si>
  <si>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</si>
  <si>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</si>
  <si>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</si>
  <si>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</si>
  <si>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</si>
  <si>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</si>
  <si>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</si>
  <si>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</si>
  <si>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</si>
  <si>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</si>
  <si>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</si>
  <si>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</si>
  <si>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</si>
  <si>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</si>
  <si>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</si>
  <si>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</si>
  <si>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</si>
  <si>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</si>
  <si>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</si>
  <si>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</si>
  <si>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</si>
  <si>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</si>
  <si>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</si>
  <si>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</si>
  <si>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</si>
  <si>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</si>
  <si>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</si>
  <si>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</si>
  <si>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</si>
  <si>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</si>
  <si>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</si>
  <si>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</si>
  <si>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</si>
  <si>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</si>
  <si>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</si>
  <si>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</si>
  <si>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</si>
  <si>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</si>
  <si>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</si>
  <si>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</si>
  <si>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</si>
  <si>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</si>
  <si>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</si>
  <si>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</si>
  <si>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</si>
  <si>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</si>
  <si>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</si>
  <si>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</si>
  <si>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</si>
  <si>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</si>
  <si>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</si>
  <si>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</si>
  <si>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</si>
  <si>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</si>
  <si>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</si>
  <si>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</si>
  <si>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</si>
  <si>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</si>
  <si>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</si>
  <si>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</si>
  <si>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</si>
  <si>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</si>
  <si>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</si>
  <si>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</si>
  <si>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</si>
  <si>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</si>
  <si>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</si>
  <si>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</si>
  <si>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</si>
  <si>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</si>
  <si>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</si>
  <si>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</si>
  <si>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</si>
  <si>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</si>
  <si>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</si>
  <si>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</si>
  <si>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</si>
  <si>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</si>
  <si>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</si>
  <si>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</si>
  <si>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</si>
  <si>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</si>
  <si>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</si>
  <si>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</si>
  <si>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</si>
  <si>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</si>
  <si>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</si>
  <si>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</si>
  <si>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</si>
  <si>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</si>
  <si>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</si>
  <si>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</si>
  <si>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</si>
  <si>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</si>
  <si>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</si>
  <si>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</si>
  <si>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</si>
  <si>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</si>
  <si>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</si>
  <si>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</si>
  <si>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</si>
  <si>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</si>
  <si>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</si>
  <si>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</si>
  <si>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</si>
  <si>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</si>
  <si>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</si>
  <si>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</si>
  <si>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</si>
  <si>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</si>
  <si>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</si>
  <si>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</si>
  <si>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</si>
  <si>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</si>
  <si>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</si>
  <si>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</si>
  <si>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</si>
  <si>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</si>
  <si>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</si>
  <si>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</si>
  <si>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</si>
  <si>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</si>
  <si>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</si>
  <si>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</si>
  <si>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</si>
  <si>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</si>
  <si>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</si>
  <si>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</si>
  <si>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</si>
  <si>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</si>
  <si>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</si>
  <si>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</si>
  <si>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</si>
  <si>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</si>
  <si>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</si>
  <si>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</si>
  <si>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</si>
  <si>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</si>
  <si>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</si>
  <si>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</si>
  <si>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</si>
  <si>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</si>
  <si>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</si>
  <si>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</si>
  <si>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</si>
  <si>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</si>
  <si>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35029</t>
  </si>
  <si>
    <t>DE HAAN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</si>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</sst>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35029</v>
      </c>
      <c r="B6" s="396"/>
      <c r="C6" s="397"/>
    </row>
    <row r="7" spans="1:7" s="394" customFormat="1" ht="15.75" customHeight="1">
      <c r="A7" s="398" t="str">
        <f>txtMunicipality</f>
        <v>DE HAAN</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35029</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6072</v>
      </c>
      <c r="C9" s="336">
        <v>6588</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2687</v>
      </c>
    </row>
    <row r="15" spans="1:6">
      <c r="A15" s="1194" t="s">
        <v>185</v>
      </c>
      <c r="B15" s="333">
        <v>455</v>
      </c>
    </row>
    <row r="16" spans="1:6">
      <c r="A16" s="1194" t="s">
        <v>6</v>
      </c>
      <c r="B16" s="333">
        <v>743</v>
      </c>
    </row>
    <row r="17" spans="1:6">
      <c r="A17" s="1194" t="s">
        <v>7</v>
      </c>
      <c r="B17" s="333">
        <v>474</v>
      </c>
    </row>
    <row r="18" spans="1:6">
      <c r="A18" s="1194" t="s">
        <v>8</v>
      </c>
      <c r="B18" s="333">
        <v>853</v>
      </c>
    </row>
    <row r="19" spans="1:6">
      <c r="A19" s="1194" t="s">
        <v>9</v>
      </c>
      <c r="B19" s="333">
        <v>751</v>
      </c>
    </row>
    <row r="20" spans="1:6">
      <c r="A20" s="1194" t="s">
        <v>10</v>
      </c>
      <c r="B20" s="333">
        <v>493</v>
      </c>
    </row>
    <row r="21" spans="1:6">
      <c r="A21" s="1194" t="s">
        <v>11</v>
      </c>
      <c r="B21" s="333">
        <v>2318</v>
      </c>
    </row>
    <row r="22" spans="1:6">
      <c r="A22" s="1194" t="s">
        <v>12</v>
      </c>
      <c r="B22" s="333">
        <v>5362</v>
      </c>
    </row>
    <row r="23" spans="1:6">
      <c r="A23" s="1194" t="s">
        <v>13</v>
      </c>
      <c r="B23" s="333">
        <v>65</v>
      </c>
    </row>
    <row r="24" spans="1:6">
      <c r="A24" s="1194" t="s">
        <v>14</v>
      </c>
      <c r="B24" s="333">
        <v>7</v>
      </c>
    </row>
    <row r="25" spans="1:6">
      <c r="A25" s="1194" t="s">
        <v>15</v>
      </c>
      <c r="B25" s="333">
        <v>638</v>
      </c>
    </row>
    <row r="26" spans="1:6">
      <c r="A26" s="1194" t="s">
        <v>16</v>
      </c>
      <c r="B26" s="333">
        <v>616</v>
      </c>
    </row>
    <row r="27" spans="1:6">
      <c r="A27" s="1194" t="s">
        <v>17</v>
      </c>
      <c r="B27" s="333">
        <v>388</v>
      </c>
    </row>
    <row r="28" spans="1:6">
      <c r="A28" s="1194" t="s">
        <v>18</v>
      </c>
      <c r="B28" s="333">
        <v>20970</v>
      </c>
    </row>
    <row r="29" spans="1:6">
      <c r="A29" s="1194" t="s">
        <v>888</v>
      </c>
      <c r="B29" s="333">
        <v>154</v>
      </c>
    </row>
    <row r="30" spans="1:6">
      <c r="A30" s="1190" t="s">
        <v>889</v>
      </c>
      <c r="B30" s="1190">
        <v>30</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0</v>
      </c>
      <c r="D38" s="333">
        <v>0</v>
      </c>
      <c r="E38" s="333">
        <v>2</v>
      </c>
      <c r="F38" s="333">
        <v>4607</v>
      </c>
    </row>
    <row r="39" spans="1:6">
      <c r="A39" s="1194" t="s">
        <v>30</v>
      </c>
      <c r="B39" s="1194" t="s">
        <v>31</v>
      </c>
      <c r="C39" s="333">
        <v>6066</v>
      </c>
      <c r="D39" s="333">
        <v>76766946.845301703</v>
      </c>
      <c r="E39" s="333">
        <v>11311</v>
      </c>
      <c r="F39" s="333">
        <v>36376369.082452901</v>
      </c>
    </row>
    <row r="40" spans="1:6">
      <c r="A40" s="1194" t="s">
        <v>30</v>
      </c>
      <c r="B40" s="1194" t="s">
        <v>29</v>
      </c>
      <c r="C40" s="333">
        <v>0</v>
      </c>
      <c r="D40" s="333">
        <v>0</v>
      </c>
      <c r="E40" s="333">
        <v>0</v>
      </c>
      <c r="F40" s="333">
        <v>0</v>
      </c>
    </row>
    <row r="41" spans="1:6">
      <c r="A41" s="1194" t="s">
        <v>32</v>
      </c>
      <c r="B41" s="1194" t="s">
        <v>33</v>
      </c>
      <c r="C41" s="333">
        <v>46</v>
      </c>
      <c r="D41" s="333">
        <v>892981.34927802498</v>
      </c>
      <c r="E41" s="333">
        <v>108</v>
      </c>
      <c r="F41" s="333">
        <v>604505.41769320902</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0</v>
      </c>
      <c r="D44" s="333">
        <v>0</v>
      </c>
      <c r="E44" s="333">
        <v>0</v>
      </c>
      <c r="F44" s="333">
        <v>0</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4</v>
      </c>
      <c r="D47" s="333">
        <v>58764.954990872597</v>
      </c>
      <c r="E47" s="333">
        <v>8</v>
      </c>
      <c r="F47" s="333">
        <v>74903.698674470797</v>
      </c>
    </row>
    <row r="48" spans="1:6">
      <c r="A48" s="1194" t="s">
        <v>32</v>
      </c>
      <c r="B48" s="1194" t="s">
        <v>29</v>
      </c>
      <c r="C48" s="333">
        <v>23</v>
      </c>
      <c r="D48" s="333">
        <v>1188880.5730767001</v>
      </c>
      <c r="E48" s="333">
        <v>35</v>
      </c>
      <c r="F48" s="333">
        <v>198270.76540291801</v>
      </c>
    </row>
    <row r="49" spans="1:6">
      <c r="A49" s="1194" t="s">
        <v>32</v>
      </c>
      <c r="B49" s="1194" t="s">
        <v>40</v>
      </c>
      <c r="C49" s="333">
        <v>0</v>
      </c>
      <c r="D49" s="333">
        <v>0</v>
      </c>
      <c r="E49" s="333">
        <v>0</v>
      </c>
      <c r="F49" s="333">
        <v>0</v>
      </c>
    </row>
    <row r="50" spans="1:6">
      <c r="A50" s="1194" t="s">
        <v>32</v>
      </c>
      <c r="B50" s="1194" t="s">
        <v>41</v>
      </c>
      <c r="C50" s="333">
        <v>9</v>
      </c>
      <c r="D50" s="333">
        <v>527131.64881374105</v>
      </c>
      <c r="E50" s="333">
        <v>25</v>
      </c>
      <c r="F50" s="333">
        <v>479548.41066827002</v>
      </c>
    </row>
    <row r="51" spans="1:6">
      <c r="A51" s="1194" t="s">
        <v>42</v>
      </c>
      <c r="B51" s="1194" t="s">
        <v>43</v>
      </c>
      <c r="C51" s="333">
        <v>0</v>
      </c>
      <c r="D51" s="333">
        <v>0</v>
      </c>
      <c r="E51" s="333">
        <v>49</v>
      </c>
      <c r="F51" s="333">
        <v>887875.56300376903</v>
      </c>
    </row>
    <row r="52" spans="1:6">
      <c r="A52" s="1194" t="s">
        <v>42</v>
      </c>
      <c r="B52" s="1194" t="s">
        <v>29</v>
      </c>
      <c r="C52" s="333">
        <v>4</v>
      </c>
      <c r="D52" s="333">
        <v>59378.413745700498</v>
      </c>
      <c r="E52" s="333">
        <v>7</v>
      </c>
      <c r="F52" s="333">
        <v>324472.32548274897</v>
      </c>
    </row>
    <row r="53" spans="1:6">
      <c r="A53" s="1194" t="s">
        <v>44</v>
      </c>
      <c r="B53" s="1194" t="s">
        <v>45</v>
      </c>
      <c r="C53" s="333">
        <v>216</v>
      </c>
      <c r="D53" s="333">
        <v>4861000.90662851</v>
      </c>
      <c r="E53" s="333">
        <v>486</v>
      </c>
      <c r="F53" s="333">
        <v>2146930.4435526398</v>
      </c>
    </row>
    <row r="54" spans="1:6">
      <c r="A54" s="1194" t="s">
        <v>46</v>
      </c>
      <c r="B54" s="1194" t="s">
        <v>47</v>
      </c>
      <c r="C54" s="333">
        <v>0</v>
      </c>
      <c r="D54" s="333">
        <v>0</v>
      </c>
      <c r="E54" s="333">
        <v>1</v>
      </c>
      <c r="F54" s="333">
        <v>1778773</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41</v>
      </c>
      <c r="D57" s="333">
        <v>1486828.42371314</v>
      </c>
      <c r="E57" s="333">
        <v>84</v>
      </c>
      <c r="F57" s="333">
        <v>1280135.42929249</v>
      </c>
    </row>
    <row r="58" spans="1:6">
      <c r="A58" s="1194" t="s">
        <v>49</v>
      </c>
      <c r="B58" s="1194" t="s">
        <v>51</v>
      </c>
      <c r="C58" s="333">
        <v>4</v>
      </c>
      <c r="D58" s="333">
        <v>62796.854681982099</v>
      </c>
      <c r="E58" s="333">
        <v>18</v>
      </c>
      <c r="F58" s="333">
        <v>129710.486442819</v>
      </c>
    </row>
    <row r="59" spans="1:6">
      <c r="A59" s="1194" t="s">
        <v>49</v>
      </c>
      <c r="B59" s="1194" t="s">
        <v>52</v>
      </c>
      <c r="C59" s="333">
        <v>78</v>
      </c>
      <c r="D59" s="333">
        <v>1552725.5319497499</v>
      </c>
      <c r="E59" s="333">
        <v>171</v>
      </c>
      <c r="F59" s="333">
        <v>2828317.0858922401</v>
      </c>
    </row>
    <row r="60" spans="1:6">
      <c r="A60" s="1194" t="s">
        <v>49</v>
      </c>
      <c r="B60" s="1194" t="s">
        <v>53</v>
      </c>
      <c r="C60" s="333">
        <v>155</v>
      </c>
      <c r="D60" s="333">
        <v>24273994.0330371</v>
      </c>
      <c r="E60" s="333">
        <v>287</v>
      </c>
      <c r="F60" s="333">
        <v>14360915.487631399</v>
      </c>
    </row>
    <row r="61" spans="1:6">
      <c r="A61" s="1194" t="s">
        <v>49</v>
      </c>
      <c r="B61" s="1194" t="s">
        <v>54</v>
      </c>
      <c r="C61" s="333">
        <v>294</v>
      </c>
      <c r="D61" s="333">
        <v>13866931.760552401</v>
      </c>
      <c r="E61" s="333">
        <v>1023</v>
      </c>
      <c r="F61" s="333">
        <v>8082945.2836333504</v>
      </c>
    </row>
    <row r="62" spans="1:6">
      <c r="A62" s="1194" t="s">
        <v>49</v>
      </c>
      <c r="B62" s="1194" t="s">
        <v>55</v>
      </c>
      <c r="C62" s="333">
        <v>3</v>
      </c>
      <c r="D62" s="333">
        <v>271397.65839968901</v>
      </c>
      <c r="E62" s="333">
        <v>7</v>
      </c>
      <c r="F62" s="333">
        <v>286360.73388820502</v>
      </c>
    </row>
    <row r="63" spans="1:6">
      <c r="A63" s="1194" t="s">
        <v>49</v>
      </c>
      <c r="B63" s="1194" t="s">
        <v>29</v>
      </c>
      <c r="C63" s="333">
        <v>128</v>
      </c>
      <c r="D63" s="333">
        <v>12174189.639924301</v>
      </c>
      <c r="E63" s="333">
        <v>155</v>
      </c>
      <c r="F63" s="333">
        <v>3893439.06480136</v>
      </c>
    </row>
    <row r="64" spans="1:6">
      <c r="A64" s="1194" t="s">
        <v>56</v>
      </c>
      <c r="B64" s="1194" t="s">
        <v>57</v>
      </c>
      <c r="C64" s="333">
        <v>0</v>
      </c>
      <c r="D64" s="333">
        <v>0</v>
      </c>
      <c r="E64" s="333">
        <v>0</v>
      </c>
      <c r="F64" s="333">
        <v>0</v>
      </c>
    </row>
    <row r="65" spans="1:6">
      <c r="A65" s="1194" t="s">
        <v>56</v>
      </c>
      <c r="B65" s="1194" t="s">
        <v>29</v>
      </c>
      <c r="C65" s="333">
        <v>5</v>
      </c>
      <c r="D65" s="333">
        <v>69221.035474802498</v>
      </c>
      <c r="E65" s="333">
        <v>5</v>
      </c>
      <c r="F65" s="333">
        <v>25870.812101892701</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14</v>
      </c>
      <c r="F68" s="333">
        <v>1644969.94356591</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73752458</v>
      </c>
      <c r="E73" s="333">
        <v>65375260.158856399</v>
      </c>
      <c r="F73" s="333">
        <v>69906362</v>
      </c>
    </row>
    <row r="74" spans="1:6">
      <c r="A74" s="1194" t="s">
        <v>64</v>
      </c>
      <c r="B74" s="1194" t="s">
        <v>775</v>
      </c>
      <c r="C74" s="1205" t="s">
        <v>776</v>
      </c>
      <c r="D74" s="333">
        <v>7600649.4891933063</v>
      </c>
      <c r="E74" s="333">
        <v>6925481.5746733025</v>
      </c>
      <c r="F74" s="333">
        <v>7192570.5577183664</v>
      </c>
    </row>
    <row r="75" spans="1:6">
      <c r="A75" s="1194" t="s">
        <v>65</v>
      </c>
      <c r="B75" s="1194" t="s">
        <v>773</v>
      </c>
      <c r="C75" s="1205" t="s">
        <v>777</v>
      </c>
      <c r="D75" s="333">
        <v>10473900</v>
      </c>
      <c r="E75" s="333">
        <v>10063587.912303498</v>
      </c>
      <c r="F75" s="333">
        <v>10175080</v>
      </c>
    </row>
    <row r="76" spans="1:6">
      <c r="A76" s="1194" t="s">
        <v>65</v>
      </c>
      <c r="B76" s="1194" t="s">
        <v>775</v>
      </c>
      <c r="C76" s="1205" t="s">
        <v>778</v>
      </c>
      <c r="D76" s="333">
        <v>1245473.4891933065</v>
      </c>
      <c r="E76" s="333">
        <v>1248762.4273867668</v>
      </c>
      <c r="F76" s="333">
        <v>1218457.5577183664</v>
      </c>
    </row>
    <row r="77" spans="1:6">
      <c r="A77" s="1194" t="s">
        <v>66</v>
      </c>
      <c r="B77" s="1194" t="s">
        <v>773</v>
      </c>
      <c r="C77" s="1205" t="s">
        <v>779</v>
      </c>
      <c r="D77" s="333">
        <v>0</v>
      </c>
      <c r="E77" s="333">
        <v>0</v>
      </c>
      <c r="F77" s="333">
        <v>0</v>
      </c>
    </row>
    <row r="78" spans="1:6">
      <c r="A78" s="1190" t="s">
        <v>66</v>
      </c>
      <c r="B78" s="1190" t="s">
        <v>775</v>
      </c>
      <c r="C78" s="1190" t="s">
        <v>780</v>
      </c>
      <c r="D78" s="1190">
        <v>0</v>
      </c>
      <c r="E78" s="1190">
        <v>0</v>
      </c>
      <c r="F78" s="336">
        <v>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92189.021613387129</v>
      </c>
      <c r="C83" s="333">
        <v>83057.905014897449</v>
      </c>
      <c r="D83" s="333">
        <v>82354.88456326742</v>
      </c>
    </row>
    <row r="84" spans="1:6">
      <c r="A84" s="1190" t="s">
        <v>338</v>
      </c>
      <c r="B84" s="336">
        <v>364210.71246081794</v>
      </c>
      <c r="C84" s="336">
        <v>372533.86676901963</v>
      </c>
      <c r="D84" s="336">
        <v>369132.94405657647</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877.5559761707824</v>
      </c>
    </row>
    <row r="92" spans="1:6">
      <c r="A92" s="1190" t="s">
        <v>69</v>
      </c>
      <c r="B92" s="336">
        <v>86.360264415834209</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2725</v>
      </c>
    </row>
    <row r="98" spans="1:6">
      <c r="A98" s="1194" t="s">
        <v>72</v>
      </c>
      <c r="B98" s="333">
        <v>0</v>
      </c>
    </row>
    <row r="99" spans="1:6">
      <c r="A99" s="1194" t="s">
        <v>73</v>
      </c>
      <c r="B99" s="333">
        <v>104</v>
      </c>
    </row>
    <row r="100" spans="1:6">
      <c r="A100" s="1194" t="s">
        <v>74</v>
      </c>
      <c r="B100" s="333">
        <v>935</v>
      </c>
    </row>
    <row r="101" spans="1:6">
      <c r="A101" s="1194" t="s">
        <v>75</v>
      </c>
      <c r="B101" s="333">
        <v>42</v>
      </c>
    </row>
    <row r="102" spans="1:6">
      <c r="A102" s="1194" t="s">
        <v>76</v>
      </c>
      <c r="B102" s="333">
        <v>139</v>
      </c>
    </row>
    <row r="103" spans="1:6">
      <c r="A103" s="1194" t="s">
        <v>77</v>
      </c>
      <c r="B103" s="333">
        <v>66</v>
      </c>
    </row>
    <row r="104" spans="1:6">
      <c r="A104" s="1194" t="s">
        <v>78</v>
      </c>
      <c r="B104" s="333">
        <v>967</v>
      </c>
    </row>
    <row r="105" spans="1:6">
      <c r="A105" s="1190" t="s">
        <v>79</v>
      </c>
      <c r="B105" s="1190">
        <v>3</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0</v>
      </c>
      <c r="C123" s="333">
        <v>6</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29</v>
      </c>
    </row>
    <row r="130" spans="1:6">
      <c r="A130" s="1194" t="s">
        <v>296</v>
      </c>
      <c r="B130" s="333">
        <v>3</v>
      </c>
    </row>
    <row r="131" spans="1:6">
      <c r="A131" s="1194" t="s">
        <v>297</v>
      </c>
      <c r="B131" s="333">
        <v>3</v>
      </c>
    </row>
    <row r="132" spans="1:6">
      <c r="A132" s="1190" t="s">
        <v>298</v>
      </c>
      <c r="B132" s="336">
        <v>3</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73748.613038182637</v>
      </c>
      <c r="C3" s="43" t="s">
        <v>171</v>
      </c>
      <c r="D3" s="43"/>
      <c r="E3" s="156"/>
      <c r="F3" s="43"/>
      <c r="G3" s="43"/>
      <c r="H3" s="43"/>
      <c r="I3" s="43"/>
      <c r="J3" s="43"/>
      <c r="K3" s="96"/>
    </row>
    <row r="4" spans="1:11">
      <c r="A4" s="364" t="s">
        <v>172</v>
      </c>
      <c r="B4" s="49">
        <f>IF(ISERROR('SEAP template'!B69),0,'SEAP template'!B69)</f>
        <v>963.9162405866166</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0.2181114644683643</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1778.7729999999999</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1778.7729999999999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0.2181114644683643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387.97078398678576</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36376.369082452904</v>
      </c>
      <c r="C5" s="17">
        <f>IF(ISERROR('Eigen informatie GS &amp; warmtenet'!B57),0,'Eigen informatie GS &amp; warmtenet'!B57)</f>
        <v>0</v>
      </c>
      <c r="D5" s="30">
        <f>(SUM(HH_hh_gas_kWh,HH_rest_gas_kWh)/1000)*0.902</f>
        <v>69243.786054462136</v>
      </c>
      <c r="E5" s="17">
        <f>B46*B57</f>
        <v>5.9368553423448374</v>
      </c>
      <c r="F5" s="17">
        <f>B51*B62</f>
        <v>0</v>
      </c>
      <c r="G5" s="18"/>
      <c r="H5" s="17"/>
      <c r="I5" s="17"/>
      <c r="J5" s="17">
        <f>B50*B61+C50*C61</f>
        <v>0</v>
      </c>
      <c r="K5" s="17"/>
      <c r="L5" s="17"/>
      <c r="M5" s="17"/>
      <c r="N5" s="17">
        <f>B48*B59+C48*C59</f>
        <v>6.9370099757227157</v>
      </c>
      <c r="O5" s="17">
        <f>B69*B70*B71</f>
        <v>54.716666666666669</v>
      </c>
      <c r="P5" s="17">
        <f>B77*B78*B79/1000-B77*B78*B79/1000/B80</f>
        <v>57.2</v>
      </c>
    </row>
    <row r="6" spans="1:16">
      <c r="A6" s="16" t="s">
        <v>633</v>
      </c>
      <c r="B6" s="830">
        <f>kWh_PV_kleiner_dan_10kW</f>
        <v>877.5559761707824</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37253.925058623689</v>
      </c>
      <c r="C8" s="21">
        <f>C5</f>
        <v>0</v>
      </c>
      <c r="D8" s="21">
        <f>D5</f>
        <v>69243.786054462136</v>
      </c>
      <c r="E8" s="21">
        <f>E5</f>
        <v>5.9368553423448374</v>
      </c>
      <c r="F8" s="21">
        <f>F5</f>
        <v>0</v>
      </c>
      <c r="G8" s="21"/>
      <c r="H8" s="21"/>
      <c r="I8" s="21"/>
      <c r="J8" s="21">
        <f>J5</f>
        <v>0</v>
      </c>
      <c r="K8" s="21"/>
      <c r="L8" s="21">
        <f>L5</f>
        <v>0</v>
      </c>
      <c r="M8" s="21">
        <f>M5</f>
        <v>0</v>
      </c>
      <c r="N8" s="21">
        <f>N5</f>
        <v>6.9370099757227157</v>
      </c>
      <c r="O8" s="21">
        <f>O5</f>
        <v>54.716666666666669</v>
      </c>
      <c r="P8" s="21">
        <f>P5</f>
        <v>57.2</v>
      </c>
    </row>
    <row r="9" spans="1:16">
      <c r="B9" s="19"/>
      <c r="C9" s="19"/>
      <c r="D9" s="260"/>
      <c r="E9" s="19"/>
      <c r="F9" s="19"/>
      <c r="G9" s="19"/>
      <c r="H9" s="19"/>
      <c r="I9" s="19"/>
      <c r="J9" s="19"/>
      <c r="K9" s="19"/>
      <c r="L9" s="19"/>
      <c r="M9" s="19"/>
      <c r="N9" s="19"/>
      <c r="O9" s="19"/>
      <c r="P9" s="19"/>
    </row>
    <row r="10" spans="1:16">
      <c r="A10" s="24" t="s">
        <v>215</v>
      </c>
      <c r="B10" s="25">
        <f ca="1">'EF ele_warmte'!B12</f>
        <v>0.2181114644683643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8125.5081517311073</v>
      </c>
      <c r="C12" s="23">
        <f ca="1">C10*C8</f>
        <v>0</v>
      </c>
      <c r="D12" s="23">
        <f>D8*D10</f>
        <v>13987.244783001352</v>
      </c>
      <c r="E12" s="23">
        <f>E10*E8</f>
        <v>1.3476661627122781</v>
      </c>
      <c r="F12" s="23">
        <f>F10*F8</f>
        <v>0</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2725</v>
      </c>
      <c r="C18" s="167" t="s">
        <v>111</v>
      </c>
      <c r="D18" s="229"/>
      <c r="E18" s="15"/>
    </row>
    <row r="19" spans="1:7">
      <c r="A19" s="172" t="s">
        <v>72</v>
      </c>
      <c r="B19" s="37">
        <f>aantalw2001_ander</f>
        <v>0</v>
      </c>
      <c r="C19" s="167" t="s">
        <v>111</v>
      </c>
      <c r="D19" s="230"/>
      <c r="E19" s="15"/>
    </row>
    <row r="20" spans="1:7">
      <c r="A20" s="172" t="s">
        <v>73</v>
      </c>
      <c r="B20" s="37">
        <f>aantalw2001_propaan</f>
        <v>104</v>
      </c>
      <c r="C20" s="168">
        <f>IF(ISERROR(B20/SUM($B$20,$B$21,$B$22)*100),0,B20/SUM($B$20,$B$21,$B$22)*100)</f>
        <v>9.6207215541165585</v>
      </c>
      <c r="D20" s="230"/>
      <c r="E20" s="15"/>
    </row>
    <row r="21" spans="1:7">
      <c r="A21" s="172" t="s">
        <v>74</v>
      </c>
      <c r="B21" s="37">
        <f>aantalw2001_elektriciteit</f>
        <v>935</v>
      </c>
      <c r="C21" s="168">
        <f>IF(ISERROR(B21/SUM($B$20,$B$21,$B$22)*100),0,B21/SUM($B$20,$B$21,$B$22)*100)</f>
        <v>86.493987049028675</v>
      </c>
      <c r="D21" s="230"/>
      <c r="E21" s="15"/>
    </row>
    <row r="22" spans="1:7">
      <c r="A22" s="172" t="s">
        <v>75</v>
      </c>
      <c r="B22" s="37">
        <f>aantalw2001_hout</f>
        <v>42</v>
      </c>
      <c r="C22" s="168">
        <f>IF(ISERROR(B22/SUM($B$20,$B$21,$B$22)*100),0,B22/SUM($B$20,$B$21,$B$22)*100)</f>
        <v>3.8852913968547642</v>
      </c>
      <c r="D22" s="230"/>
      <c r="E22" s="15"/>
    </row>
    <row r="23" spans="1:7">
      <c r="A23" s="172" t="s">
        <v>76</v>
      </c>
      <c r="B23" s="37">
        <f>aantalw2001_niet_gespec</f>
        <v>139</v>
      </c>
      <c r="C23" s="167" t="s">
        <v>111</v>
      </c>
      <c r="D23" s="229"/>
      <c r="E23" s="15"/>
    </row>
    <row r="24" spans="1:7">
      <c r="A24" s="172" t="s">
        <v>77</v>
      </c>
      <c r="B24" s="37">
        <f>aantalw2001_steenkool</f>
        <v>66</v>
      </c>
      <c r="C24" s="167" t="s">
        <v>111</v>
      </c>
      <c r="D24" s="230"/>
      <c r="E24" s="15"/>
    </row>
    <row r="25" spans="1:7">
      <c r="A25" s="172" t="s">
        <v>78</v>
      </c>
      <c r="B25" s="37">
        <f>aantalw2001_stookolie</f>
        <v>967</v>
      </c>
      <c r="C25" s="167" t="s">
        <v>111</v>
      </c>
      <c r="D25" s="229"/>
      <c r="E25" s="52"/>
    </row>
    <row r="26" spans="1:7">
      <c r="A26" s="172" t="s">
        <v>79</v>
      </c>
      <c r="B26" s="37">
        <f>aantalw2001_WP</f>
        <v>3</v>
      </c>
      <c r="C26" s="167" t="s">
        <v>111</v>
      </c>
      <c r="D26" s="229"/>
      <c r="E26" s="15"/>
    </row>
    <row r="27" spans="1:7" s="15" customFormat="1">
      <c r="A27" s="172"/>
      <c r="B27" s="29"/>
      <c r="C27" s="36"/>
      <c r="D27" s="229"/>
    </row>
    <row r="28" spans="1:7" s="15" customFormat="1">
      <c r="A28" s="231" t="s">
        <v>713</v>
      </c>
      <c r="B28" s="37">
        <f>aantalHuishoudens2011</f>
        <v>6072</v>
      </c>
      <c r="C28" s="36"/>
      <c r="D28" s="229"/>
    </row>
    <row r="29" spans="1:7" s="15" customFormat="1">
      <c r="A29" s="231" t="s">
        <v>714</v>
      </c>
      <c r="B29" s="37">
        <f>SUM(HH_hh_gas_aantal,HH_rest_gas_aantal)</f>
        <v>6066</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6066</v>
      </c>
      <c r="C32" s="168">
        <f>IF(ISERROR(B32/SUM($B$32,$B$34,$B$35,$B$36,$B$38,$B$39)*100),0,B32/SUM($B$32,$B$34,$B$35,$B$36,$B$38,$B$39)*100)</f>
        <v>99.9505684626792</v>
      </c>
      <c r="D32" s="234"/>
      <c r="G32" s="15"/>
    </row>
    <row r="33" spans="1:7">
      <c r="A33" s="172" t="s">
        <v>72</v>
      </c>
      <c r="B33" s="34" t="s">
        <v>111</v>
      </c>
      <c r="C33" s="168"/>
      <c r="D33" s="234"/>
      <c r="G33" s="15"/>
    </row>
    <row r="34" spans="1:7">
      <c r="A34" s="172" t="s">
        <v>73</v>
      </c>
      <c r="B34" s="33">
        <f>IF((($B$28-$B$32-$B$39-$B$77-$B$38)*C20/100)&lt;0,0,($B$28-$B$32-$B$39-$B$77-$B$38)*C20/100)</f>
        <v>0.28862164662349676</v>
      </c>
      <c r="C34" s="168">
        <f>IF(ISERROR(B34/SUM($B$32,$B$34,$B$35,$B$36,$B$38,$B$39)*100),0,B34/SUM($B$32,$B$34,$B$35,$B$36,$B$38,$B$39)*100)</f>
        <v>4.7556705655544046E-3</v>
      </c>
      <c r="D34" s="234"/>
      <c r="G34" s="15"/>
    </row>
    <row r="35" spans="1:7">
      <c r="A35" s="172" t="s">
        <v>74</v>
      </c>
      <c r="B35" s="33">
        <f>IF((($B$28-$B$32-$B$39-$B$77-$B$38)*C21/100)&lt;0,0,($B$28-$B$32-$B$39-$B$77-$B$38)*C21/100)</f>
        <v>2.5948196114708604</v>
      </c>
      <c r="C35" s="168">
        <f>IF(ISERROR(B35/SUM($B$32,$B$34,$B$35,$B$36,$B$38,$B$39)*100),0,B35/SUM($B$32,$B$34,$B$35,$B$36,$B$38,$B$39)*100)</f>
        <v>4.2755307488397773E-2</v>
      </c>
      <c r="D35" s="234"/>
      <c r="G35" s="15"/>
    </row>
    <row r="36" spans="1:7">
      <c r="A36" s="172" t="s">
        <v>75</v>
      </c>
      <c r="B36" s="33">
        <f>IF((($B$28-$B$32-$B$39-$B$77-$B$38)*C22/100)&lt;0,0,($B$28-$B$32-$B$39-$B$77-$B$38)*C22/100)</f>
        <v>0.11655874190564292</v>
      </c>
      <c r="C36" s="168">
        <f>IF(ISERROR(B36/SUM($B$32,$B$34,$B$35,$B$36,$B$38,$B$39)*100),0,B36/SUM($B$32,$B$34,$B$35,$B$36,$B$38,$B$39)*100)</f>
        <v>1.9205592668585093E-3</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0</v>
      </c>
      <c r="C39" s="168">
        <f>IF(ISERROR(B39/SUM($B$32,$B$34,$B$35,$B$36,$B$38,$B$39)*100),0,B39/SUM($B$32,$B$34,$B$35,$B$36,$B$38,$B$39)*100)</f>
        <v>0</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6066</v>
      </c>
      <c r="C44" s="34" t="s">
        <v>111</v>
      </c>
      <c r="D44" s="175"/>
    </row>
    <row r="45" spans="1:7">
      <c r="A45" s="172" t="s">
        <v>72</v>
      </c>
      <c r="B45" s="33" t="str">
        <f t="shared" si="0"/>
        <v>-</v>
      </c>
      <c r="C45" s="34" t="s">
        <v>111</v>
      </c>
      <c r="D45" s="175"/>
    </row>
    <row r="46" spans="1:7">
      <c r="A46" s="172" t="s">
        <v>73</v>
      </c>
      <c r="B46" s="33">
        <f t="shared" si="0"/>
        <v>0.28862164662349676</v>
      </c>
      <c r="C46" s="34" t="s">
        <v>111</v>
      </c>
      <c r="D46" s="175"/>
    </row>
    <row r="47" spans="1:7">
      <c r="A47" s="172" t="s">
        <v>74</v>
      </c>
      <c r="B47" s="33">
        <f t="shared" si="0"/>
        <v>2.5948196114708604</v>
      </c>
      <c r="C47" s="34" t="s">
        <v>111</v>
      </c>
      <c r="D47" s="175"/>
    </row>
    <row r="48" spans="1:7">
      <c r="A48" s="172" t="s">
        <v>75</v>
      </c>
      <c r="B48" s="33">
        <f t="shared" si="0"/>
        <v>0.11655874190564292</v>
      </c>
      <c r="C48" s="33">
        <f>B48*10</f>
        <v>1.165587419056429</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0</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35</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3</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30861.823571581866</v>
      </c>
      <c r="C5" s="17">
        <f>IF(ISERROR('Eigen informatie GS &amp; warmtenet'!B58),0,'Eigen informatie GS &amp; warmtenet'!B58)</f>
        <v>0</v>
      </c>
      <c r="D5" s="30">
        <f>SUM(D6:D12)</f>
        <v>48427.355239837052</v>
      </c>
      <c r="E5" s="17">
        <f>SUM(E6:E12)</f>
        <v>1199.1802805715295</v>
      </c>
      <c r="F5" s="17">
        <f>SUM(F6:F12)</f>
        <v>5510.1800329098069</v>
      </c>
      <c r="G5" s="18"/>
      <c r="H5" s="17"/>
      <c r="I5" s="17"/>
      <c r="J5" s="17">
        <f>SUM(J6:J12)</f>
        <v>0</v>
      </c>
      <c r="K5" s="17"/>
      <c r="L5" s="17"/>
      <c r="M5" s="17"/>
      <c r="N5" s="17">
        <f>SUM(N6:N12)</f>
        <v>471.23856312014613</v>
      </c>
      <c r="O5" s="17">
        <f>B38*B39*B40</f>
        <v>4.6900000000000004</v>
      </c>
      <c r="P5" s="17">
        <f>B46*B47*B48/1000-B46*B47*B48/1000/B49</f>
        <v>57.2</v>
      </c>
      <c r="R5" s="32"/>
    </row>
    <row r="6" spans="1:18">
      <c r="A6" s="32" t="s">
        <v>54</v>
      </c>
      <c r="B6" s="37">
        <f>B26</f>
        <v>8082.9452836333503</v>
      </c>
      <c r="C6" s="33"/>
      <c r="D6" s="37">
        <f>IF(ISERROR(TER_kantoor_gas_kWh/1000),0,TER_kantoor_gas_kWh/1000)*0.902</f>
        <v>12507.972448018267</v>
      </c>
      <c r="E6" s="33">
        <f>$C$26*'E Balans VL '!I12/100/3.6*1000000</f>
        <v>282.93488118597958</v>
      </c>
      <c r="F6" s="33">
        <f>$C$26*('E Balans VL '!L12+'E Balans VL '!N12)/100/3.6*1000000</f>
        <v>1225.5480441335276</v>
      </c>
      <c r="G6" s="34"/>
      <c r="H6" s="33"/>
      <c r="I6" s="33"/>
      <c r="J6" s="33">
        <f>$C$26*('E Balans VL '!D12+'E Balans VL '!E12)/100/3.6*1000000</f>
        <v>0</v>
      </c>
      <c r="K6" s="33"/>
      <c r="L6" s="33"/>
      <c r="M6" s="33"/>
      <c r="N6" s="33">
        <f>$C$26*'E Balans VL '!Y12/100/3.6*1000000</f>
        <v>62.47863715023778</v>
      </c>
      <c r="O6" s="33"/>
      <c r="P6" s="33"/>
      <c r="R6" s="32"/>
    </row>
    <row r="7" spans="1:18">
      <c r="A7" s="32" t="s">
        <v>53</v>
      </c>
      <c r="B7" s="37">
        <f t="shared" ref="B7:B12" si="0">B27</f>
        <v>14360.915487631399</v>
      </c>
      <c r="C7" s="33"/>
      <c r="D7" s="37">
        <f>IF(ISERROR(TER_horeca_gas_kWh/1000),0,TER_horeca_gas_kWh/1000)*0.902</f>
        <v>21895.142617799465</v>
      </c>
      <c r="E7" s="33">
        <f>$C$27*'E Balans VL '!I9/100/3.6*1000000</f>
        <v>810.14658717329758</v>
      </c>
      <c r="F7" s="33">
        <f>$C$27*('E Balans VL '!L9+'E Balans VL '!N9)/100/3.6*1000000</f>
        <v>2501.7509522721002</v>
      </c>
      <c r="G7" s="34"/>
      <c r="H7" s="33"/>
      <c r="I7" s="33"/>
      <c r="J7" s="33">
        <f>$C$27*('E Balans VL '!D9+'E Balans VL '!E9)/100/3.6*1000000</f>
        <v>0</v>
      </c>
      <c r="K7" s="33"/>
      <c r="L7" s="33"/>
      <c r="M7" s="33"/>
      <c r="N7" s="33">
        <f>$C$27*'E Balans VL '!Y9/100/3.6*1000000</f>
        <v>0</v>
      </c>
      <c r="O7" s="33"/>
      <c r="P7" s="33"/>
      <c r="R7" s="32"/>
    </row>
    <row r="8" spans="1:18">
      <c r="A8" s="6" t="s">
        <v>52</v>
      </c>
      <c r="B8" s="37">
        <f t="shared" si="0"/>
        <v>2828.3170858922399</v>
      </c>
      <c r="C8" s="33"/>
      <c r="D8" s="37">
        <f>IF(ISERROR(TER_handel_gas_kWh/1000),0,TER_handel_gas_kWh/1000)*0.902</f>
        <v>1400.5584298186745</v>
      </c>
      <c r="E8" s="33">
        <f>$C$28*'E Balans VL '!I13/100/3.6*1000000</f>
        <v>14.520292566122418</v>
      </c>
      <c r="F8" s="33">
        <f>$C$28*('E Balans VL '!L13+'E Balans VL '!N13)/100/3.6*1000000</f>
        <v>436.08279265940172</v>
      </c>
      <c r="G8" s="34"/>
      <c r="H8" s="33"/>
      <c r="I8" s="33"/>
      <c r="J8" s="33">
        <f>$C$28*('E Balans VL '!D13+'E Balans VL '!E13)/100/3.6*1000000</f>
        <v>0</v>
      </c>
      <c r="K8" s="33"/>
      <c r="L8" s="33"/>
      <c r="M8" s="33"/>
      <c r="N8" s="33">
        <f>$C$28*'E Balans VL '!Y13/100/3.6*1000000</f>
        <v>1.3228384253289283</v>
      </c>
      <c r="O8" s="33"/>
      <c r="P8" s="33"/>
      <c r="R8" s="32"/>
    </row>
    <row r="9" spans="1:18">
      <c r="A9" s="32" t="s">
        <v>51</v>
      </c>
      <c r="B9" s="37">
        <f t="shared" si="0"/>
        <v>129.71048644281902</v>
      </c>
      <c r="C9" s="33"/>
      <c r="D9" s="37">
        <f>IF(ISERROR(TER_gezond_gas_kWh/1000),0,TER_gezond_gas_kWh/1000)*0.902</f>
        <v>56.642762923147856</v>
      </c>
      <c r="E9" s="33">
        <f>$C$29*'E Balans VL '!I10/100/3.6*1000000</f>
        <v>5.376407286557159E-2</v>
      </c>
      <c r="F9" s="33">
        <f>$C$29*('E Balans VL '!L10+'E Balans VL '!N10)/100/3.6*1000000</f>
        <v>31.945832514341088</v>
      </c>
      <c r="G9" s="34"/>
      <c r="H9" s="33"/>
      <c r="I9" s="33"/>
      <c r="J9" s="33">
        <f>$C$29*('E Balans VL '!D10+'E Balans VL '!E10)/100/3.6*1000000</f>
        <v>0</v>
      </c>
      <c r="K9" s="33"/>
      <c r="L9" s="33"/>
      <c r="M9" s="33"/>
      <c r="N9" s="33">
        <f>$C$29*'E Balans VL '!Y10/100/3.6*1000000</f>
        <v>1.1210196525489993</v>
      </c>
      <c r="O9" s="33"/>
      <c r="P9" s="33"/>
      <c r="R9" s="32"/>
    </row>
    <row r="10" spans="1:18">
      <c r="A10" s="32" t="s">
        <v>50</v>
      </c>
      <c r="B10" s="37">
        <f t="shared" si="0"/>
        <v>1280.13542929249</v>
      </c>
      <c r="C10" s="33"/>
      <c r="D10" s="37">
        <f>IF(ISERROR(TER_ander_gas_kWh/1000),0,TER_ander_gas_kWh/1000)*0.902</f>
        <v>1341.1192381892522</v>
      </c>
      <c r="E10" s="33">
        <f>$C$30*'E Balans VL '!I14/100/3.6*1000000</f>
        <v>7.8037371613611608</v>
      </c>
      <c r="F10" s="33">
        <f>$C$30*('E Balans VL '!L14+'E Balans VL '!N14)/100/3.6*1000000</f>
        <v>339.38143817164064</v>
      </c>
      <c r="G10" s="34"/>
      <c r="H10" s="33"/>
      <c r="I10" s="33"/>
      <c r="J10" s="33">
        <f>$C$30*('E Balans VL '!D14+'E Balans VL '!E14)/100/3.6*1000000</f>
        <v>0</v>
      </c>
      <c r="K10" s="33"/>
      <c r="L10" s="33"/>
      <c r="M10" s="33"/>
      <c r="N10" s="33">
        <f>$C$30*'E Balans VL '!Y14/100/3.6*1000000</f>
        <v>295.04355476130905</v>
      </c>
      <c r="O10" s="33"/>
      <c r="P10" s="33"/>
      <c r="R10" s="32"/>
    </row>
    <row r="11" spans="1:18">
      <c r="A11" s="32" t="s">
        <v>55</v>
      </c>
      <c r="B11" s="37">
        <f t="shared" si="0"/>
        <v>286.360733888205</v>
      </c>
      <c r="C11" s="33"/>
      <c r="D11" s="37">
        <f>IF(ISERROR(TER_onderwijs_gas_kWh/1000),0,TER_onderwijs_gas_kWh/1000)*0.902</f>
        <v>244.8006878765195</v>
      </c>
      <c r="E11" s="33">
        <f>$C$31*'E Balans VL '!I11/100/3.6*1000000</f>
        <v>0.21822179018375015</v>
      </c>
      <c r="F11" s="33">
        <f>$C$31*('E Balans VL '!L11+'E Balans VL '!N11)/100/3.6*1000000</f>
        <v>207.22632026268303</v>
      </c>
      <c r="G11" s="34"/>
      <c r="H11" s="33"/>
      <c r="I11" s="33"/>
      <c r="J11" s="33">
        <f>$C$31*('E Balans VL '!D11+'E Balans VL '!E11)/100/3.6*1000000</f>
        <v>0</v>
      </c>
      <c r="K11" s="33"/>
      <c r="L11" s="33"/>
      <c r="M11" s="33"/>
      <c r="N11" s="33">
        <f>$C$31*'E Balans VL '!Y11/100/3.6*1000000</f>
        <v>0.84397352173684692</v>
      </c>
      <c r="O11" s="33"/>
      <c r="P11" s="33"/>
      <c r="R11" s="32"/>
    </row>
    <row r="12" spans="1:18">
      <c r="A12" s="32" t="s">
        <v>261</v>
      </c>
      <c r="B12" s="37">
        <f t="shared" si="0"/>
        <v>3893.43906480136</v>
      </c>
      <c r="C12" s="33"/>
      <c r="D12" s="37">
        <f>IF(ISERROR(TER_rest_gas_kWh/1000),0,TER_rest_gas_kWh/1000)*0.902</f>
        <v>10981.11905521172</v>
      </c>
      <c r="E12" s="33">
        <f>$C$32*'E Balans VL '!I8/100/3.6*1000000</f>
        <v>83.502796621719511</v>
      </c>
      <c r="F12" s="33">
        <f>$C$32*('E Balans VL '!L8+'E Balans VL '!N8)/100/3.6*1000000</f>
        <v>768.24465289611192</v>
      </c>
      <c r="G12" s="34"/>
      <c r="H12" s="33"/>
      <c r="I12" s="33"/>
      <c r="J12" s="33">
        <f>$C$32*('E Balans VL '!D8+'E Balans VL '!E8)/100/3.6*1000000</f>
        <v>0</v>
      </c>
      <c r="K12" s="33"/>
      <c r="L12" s="33"/>
      <c r="M12" s="33"/>
      <c r="N12" s="33">
        <f>$C$32*'E Balans VL '!Y8/100/3.6*1000000</f>
        <v>110.42853960898451</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30861.823571581866</v>
      </c>
      <c r="C16" s="21">
        <f ca="1">C5+C13+C14</f>
        <v>0</v>
      </c>
      <c r="D16" s="21">
        <f t="shared" ref="D16:N16" ca="1" si="1">MAX((D5+D13+D14),0)</f>
        <v>48427.355239837052</v>
      </c>
      <c r="E16" s="21">
        <f t="shared" si="1"/>
        <v>1199.1802805715295</v>
      </c>
      <c r="F16" s="21">
        <f t="shared" ca="1" si="1"/>
        <v>5510.1800329098069</v>
      </c>
      <c r="G16" s="21">
        <f t="shared" si="1"/>
        <v>0</v>
      </c>
      <c r="H16" s="21">
        <f t="shared" si="1"/>
        <v>0</v>
      </c>
      <c r="I16" s="21">
        <f t="shared" si="1"/>
        <v>0</v>
      </c>
      <c r="J16" s="21">
        <f t="shared" si="1"/>
        <v>0</v>
      </c>
      <c r="K16" s="21">
        <f t="shared" si="1"/>
        <v>0</v>
      </c>
      <c r="L16" s="21">
        <f t="shared" ca="1" si="1"/>
        <v>0</v>
      </c>
      <c r="M16" s="21">
        <f t="shared" si="1"/>
        <v>0</v>
      </c>
      <c r="N16" s="21">
        <f t="shared" ca="1" si="1"/>
        <v>471.23856312014613</v>
      </c>
      <c r="O16" s="21">
        <f>O5</f>
        <v>4.6900000000000004</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0.2181114644683643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6731.3175353620063</v>
      </c>
      <c r="C20" s="23">
        <f t="shared" ref="C20:P20" ca="1" si="2">C16*C18</f>
        <v>0</v>
      </c>
      <c r="D20" s="23">
        <f t="shared" ca="1" si="2"/>
        <v>9782.3257584470848</v>
      </c>
      <c r="E20" s="23">
        <f t="shared" si="2"/>
        <v>272.21392368973721</v>
      </c>
      <c r="F20" s="23">
        <f t="shared" ca="1" si="2"/>
        <v>1471.2180687869186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8082.9452836333503</v>
      </c>
      <c r="C26" s="39">
        <f>IF(ISERROR(B26*3.6/1000000/'E Balans VL '!Z12*100),0,B26*3.6/1000000/'E Balans VL '!Z12*100)</f>
        <v>0.17009217893830422</v>
      </c>
      <c r="D26" s="238" t="s">
        <v>720</v>
      </c>
      <c r="F26" s="6"/>
    </row>
    <row r="27" spans="1:18">
      <c r="A27" s="232" t="s">
        <v>53</v>
      </c>
      <c r="B27" s="33">
        <f>IF(ISERROR(TER_horeca_ele_kWh/1000),0,TER_horeca_ele_kWh/1000)</f>
        <v>14360.915487631399</v>
      </c>
      <c r="C27" s="39">
        <f>IF(ISERROR(B27*3.6/1000000/'E Balans VL '!Z9*100),0,B27*3.6/1000000/'E Balans VL '!Z9*100)</f>
        <v>1.2158983605389317</v>
      </c>
      <c r="D27" s="238" t="s">
        <v>720</v>
      </c>
      <c r="F27" s="6"/>
    </row>
    <row r="28" spans="1:18">
      <c r="A28" s="172" t="s">
        <v>52</v>
      </c>
      <c r="B28" s="33">
        <f>IF(ISERROR(TER_handel_ele_kWh/1000),0,TER_handel_ele_kWh/1000)</f>
        <v>2828.3170858922399</v>
      </c>
      <c r="C28" s="39">
        <f>IF(ISERROR(B28*3.6/1000000/'E Balans VL '!Z13*100),0,B28*3.6/1000000/'E Balans VL '!Z13*100)</f>
        <v>7.8301567425939064E-2</v>
      </c>
      <c r="D28" s="238" t="s">
        <v>720</v>
      </c>
      <c r="F28" s="6"/>
    </row>
    <row r="29" spans="1:18">
      <c r="A29" s="232" t="s">
        <v>51</v>
      </c>
      <c r="B29" s="33">
        <f>IF(ISERROR(TER_gezond_ele_kWh/1000),0,TER_gezond_ele_kWh/1000)</f>
        <v>129.71048644281902</v>
      </c>
      <c r="C29" s="39">
        <f>IF(ISERROR(B29*3.6/1000000/'E Balans VL '!Z10*100),0,B29*3.6/1000000/'E Balans VL '!Z10*100)</f>
        <v>1.686092522916726E-2</v>
      </c>
      <c r="D29" s="238" t="s">
        <v>720</v>
      </c>
      <c r="F29" s="6"/>
    </row>
    <row r="30" spans="1:18">
      <c r="A30" s="232" t="s">
        <v>50</v>
      </c>
      <c r="B30" s="33">
        <f>IF(ISERROR(TER_ander_ele_kWh/1000),0,TER_ander_ele_kWh/1000)</f>
        <v>1280.13542929249</v>
      </c>
      <c r="C30" s="39">
        <f>IF(ISERROR(B30*3.6/1000000/'E Balans VL '!Z14*100),0,B30*3.6/1000000/'E Balans VL '!Z14*100)</f>
        <v>9.9222235508865164E-2</v>
      </c>
      <c r="D30" s="238" t="s">
        <v>720</v>
      </c>
      <c r="F30" s="6"/>
    </row>
    <row r="31" spans="1:18">
      <c r="A31" s="232" t="s">
        <v>55</v>
      </c>
      <c r="B31" s="33">
        <f>IF(ISERROR(TER_onderwijs_ele_kWh/1000),0,TER_onderwijs_ele_kWh/1000)</f>
        <v>286.360733888205</v>
      </c>
      <c r="C31" s="39">
        <f>IF(ISERROR(B31*3.6/1000000/'E Balans VL '!Z11*100),0,B31*3.6/1000000/'E Balans VL '!Z11*100)</f>
        <v>5.4785687876458745E-2</v>
      </c>
      <c r="D31" s="238" t="s">
        <v>720</v>
      </c>
    </row>
    <row r="32" spans="1:18">
      <c r="A32" s="232" t="s">
        <v>261</v>
      </c>
      <c r="B32" s="33">
        <f>IF(ISERROR(TER_rest_ele_kWh/1000),0,TER_rest_ele_kWh/1000)</f>
        <v>3893.43906480136</v>
      </c>
      <c r="C32" s="39">
        <f>IF(ISERROR(B32*3.6/1000000/'E Balans VL '!Z8*100),0,B32*3.6/1000000/'E Balans VL '!Z8*100)</f>
        <v>3.2104394921739617E-2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3</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3</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1357.2282924388678</v>
      </c>
      <c r="C5" s="17">
        <f>IF(ISERROR('Eigen informatie GS &amp; warmtenet'!B59),0,'Eigen informatie GS &amp; warmtenet'!B59)</f>
        <v>0</v>
      </c>
      <c r="D5" s="30">
        <f>SUM(D6:D15)</f>
        <v>2406.3181905957235</v>
      </c>
      <c r="E5" s="17">
        <f>SUM(E6:E15)</f>
        <v>18.622547549667342</v>
      </c>
      <c r="F5" s="17">
        <f>SUM(F6:F15)</f>
        <v>605.47465457886221</v>
      </c>
      <c r="G5" s="18"/>
      <c r="H5" s="17"/>
      <c r="I5" s="17"/>
      <c r="J5" s="17">
        <f>SUM(J6:J15)</f>
        <v>3.3646427137238688</v>
      </c>
      <c r="K5" s="17"/>
      <c r="L5" s="17"/>
      <c r="M5" s="17"/>
      <c r="N5" s="17">
        <f>SUM(N6:N15)</f>
        <v>55.387017327036418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604.50541769320898</v>
      </c>
      <c r="C9" s="33"/>
      <c r="D9" s="37">
        <f>IF( ISERROR(IND_andere_gas_kWh/1000),0,IND_andere_gas_kWh/1000)*0.902</f>
        <v>805.46917704877853</v>
      </c>
      <c r="E9" s="33">
        <f>C31*'E Balans VL '!I19/100/3.6*1000000</f>
        <v>10.153409032938333</v>
      </c>
      <c r="F9" s="33">
        <f>C31*'E Balans VL '!L19/100/3.6*1000000+C31*'E Balans VL '!N19/100/3.6*1000000</f>
        <v>472.56790549476796</v>
      </c>
      <c r="G9" s="34"/>
      <c r="H9" s="33"/>
      <c r="I9" s="33"/>
      <c r="J9" s="40">
        <f>C31*'E Balans VL '!D19/100/3.6*1000000+C31*'E Balans VL '!E19/100/3.6*1000000</f>
        <v>5.452105247392304E-2</v>
      </c>
      <c r="K9" s="33"/>
      <c r="L9" s="33"/>
      <c r="M9" s="33"/>
      <c r="N9" s="33">
        <f>C31*'E Balans VL '!Y19/100/3.6*1000000</f>
        <v>44.803549886669892</v>
      </c>
      <c r="O9" s="33"/>
      <c r="P9" s="33"/>
      <c r="R9" s="32"/>
    </row>
    <row r="10" spans="1:18">
      <c r="A10" s="6" t="s">
        <v>41</v>
      </c>
      <c r="B10" s="37">
        <f t="shared" si="0"/>
        <v>479.54841066827004</v>
      </c>
      <c r="C10" s="33"/>
      <c r="D10" s="37">
        <f>IF( ISERROR(IND_voed_gas_kWh/1000),0,IND_voed_gas_kWh/1000)*0.902</f>
        <v>475.47274722999447</v>
      </c>
      <c r="E10" s="33">
        <f>C32*'E Balans VL '!I20/100/3.6*1000000</f>
        <v>4.3752004226048236</v>
      </c>
      <c r="F10" s="33">
        <f>C32*'E Balans VL '!L20/100/3.6*1000000+C32*'E Balans VL '!N20/100/3.6*1000000</f>
        <v>77.366158037282418</v>
      </c>
      <c r="G10" s="34"/>
      <c r="H10" s="33"/>
      <c r="I10" s="33"/>
      <c r="J10" s="40">
        <f>C32*'E Balans VL '!D20/100/3.6*1000000+C32*'E Balans VL '!E20/100/3.6*1000000</f>
        <v>1.9750947622888739</v>
      </c>
      <c r="K10" s="33"/>
      <c r="L10" s="33"/>
      <c r="M10" s="33"/>
      <c r="N10" s="33">
        <f>C32*'E Balans VL '!Y20/100/3.6*1000000</f>
        <v>7.0154151135422289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74.903698674470803</v>
      </c>
      <c r="C13" s="33"/>
      <c r="D13" s="37">
        <f>IF( ISERROR(IND_papier_gas_kWh/1000),0,IND_papier_gas_kWh/1000)*0.902</f>
        <v>53.005989401767081</v>
      </c>
      <c r="E13" s="33">
        <f>C35*'E Balans VL '!I23/100/3.6*1000000</f>
        <v>2.3045913269699758</v>
      </c>
      <c r="F13" s="33">
        <f>C35*'E Balans VL '!L23/100/3.6*1000000+C35*'E Balans VL '!N23/100/3.6*1000000</f>
        <v>15.904672958197114</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198.27076540291802</v>
      </c>
      <c r="C15" s="33"/>
      <c r="D15" s="37">
        <f>IF( ISERROR(IND_rest_gas_kWh/1000),0,IND_rest_gas_kWh/1000)*0.902</f>
        <v>1072.3702769151835</v>
      </c>
      <c r="E15" s="33">
        <f>C37*'E Balans VL '!I15/100/3.6*1000000</f>
        <v>1.7893467671542098</v>
      </c>
      <c r="F15" s="33">
        <f>C37*'E Balans VL '!L15/100/3.6*1000000+C37*'E Balans VL '!N15/100/3.6*1000000</f>
        <v>39.635918088614751</v>
      </c>
      <c r="G15" s="34"/>
      <c r="H15" s="33"/>
      <c r="I15" s="33"/>
      <c r="J15" s="40">
        <f>C37*'E Balans VL '!D15/100/3.6*1000000+C37*'E Balans VL '!E15/100/3.6*1000000</f>
        <v>1.3350268989610719</v>
      </c>
      <c r="K15" s="33"/>
      <c r="L15" s="33"/>
      <c r="M15" s="33"/>
      <c r="N15" s="33">
        <f>C37*'E Balans VL '!Y15/100/3.6*1000000</f>
        <v>3.5680523268243003</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1357.2282924388678</v>
      </c>
      <c r="C18" s="21">
        <f>C5+C16</f>
        <v>0</v>
      </c>
      <c r="D18" s="21">
        <f>MAX((D5+D16),0)</f>
        <v>2406.3181905957235</v>
      </c>
      <c r="E18" s="21">
        <f>MAX((E5+E16),0)</f>
        <v>18.622547549667342</v>
      </c>
      <c r="F18" s="21">
        <f>MAX((F5+F16),0)</f>
        <v>605.47465457886221</v>
      </c>
      <c r="G18" s="21"/>
      <c r="H18" s="21"/>
      <c r="I18" s="21"/>
      <c r="J18" s="21">
        <f>MAX((J5+J16),0)</f>
        <v>3.3646427137238688</v>
      </c>
      <c r="K18" s="21"/>
      <c r="L18" s="21">
        <f>MAX((L5+L16),0)</f>
        <v>0</v>
      </c>
      <c r="M18" s="21"/>
      <c r="N18" s="21">
        <f>MAX((N5+N16),0)</f>
        <v>55.387017327036418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0.2181114644683643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296.02705048173885</v>
      </c>
      <c r="C22" s="23">
        <f ca="1">C18*C20</f>
        <v>0</v>
      </c>
      <c r="D22" s="23">
        <f>D18*D20</f>
        <v>486.07627450033618</v>
      </c>
      <c r="E22" s="23">
        <f>E18*E20</f>
        <v>4.2273182937744869</v>
      </c>
      <c r="F22" s="23">
        <f>F18*F20</f>
        <v>161.66173277255621</v>
      </c>
      <c r="G22" s="23"/>
      <c r="H22" s="23"/>
      <c r="I22" s="23"/>
      <c r="J22" s="23">
        <f>J18*J20</f>
        <v>1.1910835206582495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0</v>
      </c>
      <c r="C30" s="39">
        <f>IF(ISERROR(B30*3.6/1000000/'E Balans VL '!Z18*100),0,B30*3.6/1000000/'E Balans VL '!Z18*100)</f>
        <v>0</v>
      </c>
      <c r="D30" s="238" t="s">
        <v>720</v>
      </c>
    </row>
    <row r="31" spans="1:18">
      <c r="A31" s="6" t="s">
        <v>33</v>
      </c>
      <c r="B31" s="37">
        <f>IF( ISERROR(IND_ander_ele_kWh/1000),0,IND_ander_ele_kWh/1000)</f>
        <v>604.50541769320898</v>
      </c>
      <c r="C31" s="39">
        <f>IF(ISERROR(B31*3.6/1000000/'E Balans VL '!Z19*100),0,B31*3.6/1000000/'E Balans VL '!Z19*100)</f>
        <v>2.6795329543498017E-2</v>
      </c>
      <c r="D31" s="238" t="s">
        <v>720</v>
      </c>
    </row>
    <row r="32" spans="1:18">
      <c r="A32" s="172" t="s">
        <v>41</v>
      </c>
      <c r="B32" s="37">
        <f>IF( ISERROR(IND_voed_ele_kWh/1000),0,IND_voed_ele_kWh/1000)</f>
        <v>479.54841066827004</v>
      </c>
      <c r="C32" s="39">
        <f>IF(ISERROR(B32*3.6/1000000/'E Balans VL '!Z20*100),0,B32*3.6/1000000/'E Balans VL '!Z20*100)</f>
        <v>1.6018292562666993E-2</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74.903698674470803</v>
      </c>
      <c r="C35" s="39">
        <f>IF(ISERROR(B35*3.6/1000000/'E Balans VL '!Z22*100),0,B35*3.6/1000000/'E Balans VL '!Z22*100)</f>
        <v>1.4567946621823731E-2</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198.27076540291802</v>
      </c>
      <c r="C37" s="39">
        <f>IF(ISERROR(B37*3.6/1000000/'E Balans VL '!Z15*100),0,B37*3.6/1000000/'E Balans VL '!Z15*100)</f>
        <v>1.474811483890777E-3</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1212.3478884865181</v>
      </c>
      <c r="C5" s="17">
        <f>'Eigen informatie GS &amp; warmtenet'!B60</f>
        <v>0</v>
      </c>
      <c r="D5" s="30">
        <f>IF(ISERROR(SUM(LB_lb_gas_kWh,LB_rest_gas_kWh,onbekend_gas_kWh)/1000),0,SUM(LB_lb_gas_kWh,LB_rest_gas_kWh,onbekend_gas_kWh)/1000)*0.902</f>
        <v>4438.1821469775377</v>
      </c>
      <c r="E5" s="17">
        <f>B17*'E Balans VL '!I25/3.6*1000000/100</f>
        <v>12.695969550845511</v>
      </c>
      <c r="F5" s="17">
        <f>B17*('E Balans VL '!L25/3.6*1000000+'E Balans VL '!N25/3.6*1000000)/100</f>
        <v>6226.8117904712599</v>
      </c>
      <c r="G5" s="18"/>
      <c r="H5" s="17"/>
      <c r="I5" s="17"/>
      <c r="J5" s="17">
        <f>('E Balans VL '!D25+'E Balans VL '!E25)/3.6*1000000*landbouw!B17/100</f>
        <v>108.27353290134866</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1212.3478884865181</v>
      </c>
      <c r="C8" s="21">
        <f>C5+C6</f>
        <v>0</v>
      </c>
      <c r="D8" s="21">
        <f>MAX((D5+D6),0)</f>
        <v>4438.1821469775377</v>
      </c>
      <c r="E8" s="21">
        <f>MAX((E5+E6),0)</f>
        <v>12.695969550845511</v>
      </c>
      <c r="F8" s="21">
        <f>MAX((F5+F6),0)</f>
        <v>6226.8117904712599</v>
      </c>
      <c r="G8" s="21"/>
      <c r="H8" s="21"/>
      <c r="I8" s="21"/>
      <c r="J8" s="21">
        <f>MAX((J5+J6),0)</f>
        <v>108.27353290134866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0.2181114644683643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264.42697340292364</v>
      </c>
      <c r="C12" s="23">
        <f ca="1">C8*C10</f>
        <v>0</v>
      </c>
      <c r="D12" s="23">
        <f>D8*D10</f>
        <v>896.51279368946268</v>
      </c>
      <c r="E12" s="23">
        <f>E8*E10</f>
        <v>2.8819850880419313</v>
      </c>
      <c r="F12" s="23">
        <f>F8*F10</f>
        <v>1662.5587480558265</v>
      </c>
      <c r="G12" s="23"/>
      <c r="H12" s="23"/>
      <c r="I12" s="23"/>
      <c r="J12" s="23">
        <f>J8*J10</f>
        <v>38.328830647077424</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0.18660374267709404</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259.81773290748123</v>
      </c>
      <c r="C26" s="248">
        <f>B26*'GWP N2O_CH4'!B5</f>
        <v>5456.1723910571054</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78.741815554645825</v>
      </c>
      <c r="C27" s="248">
        <f>B27*'GWP N2O_CH4'!B5</f>
        <v>1653.5781266475624</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3.7692714191327132</v>
      </c>
      <c r="C28" s="248">
        <f>B28*'GWP N2O_CH4'!B4</f>
        <v>1168.4741399311411</v>
      </c>
      <c r="D28" s="50"/>
    </row>
    <row r="29" spans="1:4">
      <c r="A29" s="41" t="s">
        <v>278</v>
      </c>
      <c r="B29" s="248">
        <f>B34*'ha_N2O bodem landbouw'!B4</f>
        <v>24.175106576928339</v>
      </c>
      <c r="C29" s="248">
        <f>B29*'GWP N2O_CH4'!B4</f>
        <v>7494.2830388477851</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3.9952538703557222E-3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2.4208762583026208E-6</v>
      </c>
      <c r="C5" s="446" t="s">
        <v>212</v>
      </c>
      <c r="D5" s="431">
        <f>SUM(D6:D11)</f>
        <v>1.1466580872934478E-5</v>
      </c>
      <c r="E5" s="431">
        <f>SUM(E6:E11)</f>
        <v>1.1719705537747592E-3</v>
      </c>
      <c r="F5" s="444" t="s">
        <v>212</v>
      </c>
      <c r="G5" s="431">
        <f>SUM(G6:G11)</f>
        <v>0.23001728891248424</v>
      </c>
      <c r="H5" s="431">
        <f>SUM(H6:H11)</f>
        <v>3.8307881577094118E-2</v>
      </c>
      <c r="I5" s="446" t="s">
        <v>212</v>
      </c>
      <c r="J5" s="446" t="s">
        <v>212</v>
      </c>
      <c r="K5" s="446" t="s">
        <v>212</v>
      </c>
      <c r="L5" s="446" t="s">
        <v>212</v>
      </c>
      <c r="M5" s="431">
        <f>SUM(M6:M11)</f>
        <v>1.1704992165907611E-2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2.1198301672222511E-6</v>
      </c>
      <c r="C6" s="432"/>
      <c r="D6" s="432">
        <f>vkm_2011_GW_PW*SUMIFS(TableVerdeelsleutelVkm[CNG],TableVerdeelsleutelVkm[Voertuigtype],"Lichte voertuigen")*SUMIFS(TableECFTransport[EnergieConsumptieFactor (PJ per km)],TableECFTransport[Index],CONCATENATE($A6,"_CNG_CNG"))</f>
        <v>9.138341442108546E-6</v>
      </c>
      <c r="E6" s="434">
        <f>vkm_2011_GW_PW*SUMIFS(TableVerdeelsleutelVkm[LPG],TableVerdeelsleutelVkm[Voertuigtype],"Lichte voertuigen")*SUMIFS(TableECFTransport[EnergieConsumptieFactor (PJ per km)],TableECFTransport[Index],CONCATENATE($A6,"_LPG_LPG"))</f>
        <v>9.5078835536514469E-4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0.11694957788911035</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3.079040030975275E-2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6.4746741372729731E-3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7.1079102190532872E-2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2.4372039152007929E-5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3.0704840354882014E-3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3.0104609108036963E-7</v>
      </c>
      <c r="C8" s="432"/>
      <c r="D8" s="434">
        <f>vkm_2011_NGW_PW*SUMIFS(TableVerdeelsleutelVkm[CNG],TableVerdeelsleutelVkm[Voertuigtype],"Lichte voertuigen")*SUMIFS(TableECFTransport[EnergieConsumptieFactor (PJ per km)],TableECFTransport[Index],CONCATENATE($A8,"_CNG_CNG"))</f>
        <v>2.3282394308259322E-6</v>
      </c>
      <c r="E8" s="434">
        <f>vkm_2011_NGW_PW*SUMIFS(TableVerdeelsleutelVkm[LPG],TableVerdeelsleutelVkm[Voertuigtype],"Lichte voertuigen")*SUMIFS(TableECFTransport[EnergieConsumptieFactor (PJ per km)],TableECFTransport[Index],CONCATENATE($A8,"_LPG_LPG"))</f>
        <v>2.211821984096145E-4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2.5804288234780121E-2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7.4882883442627573E-3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1.4607353715150981E-3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1.6184320598060881E-2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4.8208839265987204E-6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6.990986216313382E-4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0.67246562730628356</v>
      </c>
      <c r="C14" s="21"/>
      <c r="D14" s="21">
        <f t="shared" ref="D14:M14" si="0">((D5)*10^9/3600)+D12</f>
        <v>3.1851613535929104</v>
      </c>
      <c r="E14" s="21">
        <f t="shared" si="0"/>
        <v>325.54737604854421</v>
      </c>
      <c r="F14" s="21"/>
      <c r="G14" s="21">
        <f t="shared" si="0"/>
        <v>63893.691364578954</v>
      </c>
      <c r="H14" s="21">
        <f t="shared" si="0"/>
        <v>10641.078215859476</v>
      </c>
      <c r="I14" s="21"/>
      <c r="J14" s="21"/>
      <c r="K14" s="21"/>
      <c r="L14" s="21"/>
      <c r="M14" s="21">
        <f t="shared" si="0"/>
        <v>3251.3867127521144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0.2181114644683643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0.14667246277641077</v>
      </c>
      <c r="C18" s="23"/>
      <c r="D18" s="23">
        <f t="shared" ref="D18:M18" si="1">D14*D16</f>
        <v>0.643402593425768</v>
      </c>
      <c r="E18" s="23">
        <f t="shared" si="1"/>
        <v>73.899254363019537</v>
      </c>
      <c r="F18" s="23"/>
      <c r="G18" s="23">
        <f t="shared" si="1"/>
        <v>17059.61559434258</v>
      </c>
      <c r="H18" s="23">
        <f t="shared" si="1"/>
        <v>2649.6284757490093</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4.6218339411277795E-3</v>
      </c>
      <c r="C50" s="322">
        <f t="shared" ref="C50:P50" si="2">SUM(C51:C52)</f>
        <v>0</v>
      </c>
      <c r="D50" s="322">
        <f t="shared" si="2"/>
        <v>0</v>
      </c>
      <c r="E50" s="322">
        <f t="shared" si="2"/>
        <v>0</v>
      </c>
      <c r="F50" s="322">
        <f t="shared" si="2"/>
        <v>0</v>
      </c>
      <c r="G50" s="322">
        <f t="shared" si="2"/>
        <v>1.2104773337428981E-3</v>
      </c>
      <c r="H50" s="322">
        <f t="shared" si="2"/>
        <v>0</v>
      </c>
      <c r="I50" s="322">
        <f t="shared" si="2"/>
        <v>0</v>
      </c>
      <c r="J50" s="322">
        <f t="shared" si="2"/>
        <v>0</v>
      </c>
      <c r="K50" s="322">
        <f t="shared" si="2"/>
        <v>0</v>
      </c>
      <c r="L50" s="322">
        <f t="shared" si="2"/>
        <v>0</v>
      </c>
      <c r="M50" s="322">
        <f t="shared" si="2"/>
        <v>5.159738984704866E-5</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1.2104773337428981E-3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5.159738984704866E-5</v>
      </c>
      <c r="N51" s="324"/>
      <c r="O51" s="324"/>
      <c r="P51" s="327"/>
    </row>
    <row r="52" spans="1:18">
      <c r="A52" s="4" t="s">
        <v>331</v>
      </c>
      <c r="B52" s="328">
        <f>vkm_2011_tram*SUMIFS(TableECFTransport[EnergieConsumptieFactor (PJ per km)],TableECFTransport[Index],"Tram_gemiddeld_Electric_Electric")</f>
        <v>4.6218339411277795E-3</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1283.8427614243833</v>
      </c>
      <c r="C54" s="21">
        <f t="shared" ref="C54:P54" si="3">(C50)*10^9/3600</f>
        <v>0</v>
      </c>
      <c r="D54" s="21">
        <f t="shared" si="3"/>
        <v>0</v>
      </c>
      <c r="E54" s="21">
        <f t="shared" si="3"/>
        <v>0</v>
      </c>
      <c r="F54" s="21">
        <f t="shared" si="3"/>
        <v>0</v>
      </c>
      <c r="G54" s="21">
        <f t="shared" si="3"/>
        <v>336.24370381747167</v>
      </c>
      <c r="H54" s="21">
        <f t="shared" si="3"/>
        <v>0</v>
      </c>
      <c r="I54" s="21">
        <f t="shared" si="3"/>
        <v>0</v>
      </c>
      <c r="J54" s="21">
        <f t="shared" si="3"/>
        <v>0</v>
      </c>
      <c r="K54" s="21">
        <f t="shared" si="3"/>
        <v>0</v>
      </c>
      <c r="L54" s="21">
        <f t="shared" si="3"/>
        <v>0</v>
      </c>
      <c r="M54" s="21">
        <f t="shared" si="3"/>
        <v>14.332608290846849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0.2181114644683643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280.02082484138106</v>
      </c>
      <c r="C58" s="23">
        <f t="shared" ref="C58:P58" ca="1" si="4">C54*C56</f>
        <v>0</v>
      </c>
      <c r="D58" s="23">
        <f t="shared" si="4"/>
        <v>0</v>
      </c>
      <c r="E58" s="23">
        <f t="shared" si="4"/>
        <v>0</v>
      </c>
      <c r="F58" s="23">
        <f t="shared" si="4"/>
        <v>0</v>
      </c>
      <c r="G58" s="23">
        <f t="shared" si="4"/>
        <v>89.777068919264934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963.9162405866166</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963.9162405866166</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32640.596571581867</v>
      </c>
      <c r="D10" s="702">
        <f ca="1">tertiair!C16</f>
        <v>0</v>
      </c>
      <c r="E10" s="702">
        <f ca="1">tertiair!D16</f>
        <v>48427.355239837052</v>
      </c>
      <c r="F10" s="702">
        <f>tertiair!E16</f>
        <v>1199.1802805715295</v>
      </c>
      <c r="G10" s="702">
        <f ca="1">tertiair!F16</f>
        <v>5510.1800329098069</v>
      </c>
      <c r="H10" s="702">
        <f>tertiair!G16</f>
        <v>0</v>
      </c>
      <c r="I10" s="702">
        <f>tertiair!H16</f>
        <v>0</v>
      </c>
      <c r="J10" s="702">
        <f>tertiair!I16</f>
        <v>0</v>
      </c>
      <c r="K10" s="702">
        <f>tertiair!J16</f>
        <v>0</v>
      </c>
      <c r="L10" s="702">
        <f>tertiair!K16</f>
        <v>0</v>
      </c>
      <c r="M10" s="702">
        <f ca="1">tertiair!L16</f>
        <v>0</v>
      </c>
      <c r="N10" s="702">
        <f>tertiair!M16</f>
        <v>0</v>
      </c>
      <c r="O10" s="702">
        <f ca="1">tertiair!N16</f>
        <v>471.23856312014613</v>
      </c>
      <c r="P10" s="702">
        <f>tertiair!O16</f>
        <v>4.6900000000000004</v>
      </c>
      <c r="Q10" s="703">
        <f>tertiair!P16</f>
        <v>57.2</v>
      </c>
      <c r="R10" s="705">
        <f ca="1">SUM(C10:Q10)</f>
        <v>88310.440688020404</v>
      </c>
      <c r="S10" s="67"/>
    </row>
    <row r="11" spans="1:19" s="457" customFormat="1">
      <c r="A11" s="858" t="s">
        <v>226</v>
      </c>
      <c r="B11" s="863"/>
      <c r="C11" s="702">
        <f>huishoudens!B8</f>
        <v>37253.925058623689</v>
      </c>
      <c r="D11" s="702">
        <f>huishoudens!C8</f>
        <v>0</v>
      </c>
      <c r="E11" s="702">
        <f>huishoudens!D8</f>
        <v>69243.786054462136</v>
      </c>
      <c r="F11" s="702">
        <f>huishoudens!E8</f>
        <v>5.9368553423448374</v>
      </c>
      <c r="G11" s="702">
        <f>huishoudens!F8</f>
        <v>0</v>
      </c>
      <c r="H11" s="702">
        <f>huishoudens!G8</f>
        <v>0</v>
      </c>
      <c r="I11" s="702">
        <f>huishoudens!H8</f>
        <v>0</v>
      </c>
      <c r="J11" s="702">
        <f>huishoudens!I8</f>
        <v>0</v>
      </c>
      <c r="K11" s="702">
        <f>huishoudens!J8</f>
        <v>0</v>
      </c>
      <c r="L11" s="702">
        <f>huishoudens!K8</f>
        <v>0</v>
      </c>
      <c r="M11" s="702">
        <f>huishoudens!L8</f>
        <v>0</v>
      </c>
      <c r="N11" s="702">
        <f>huishoudens!M8</f>
        <v>0</v>
      </c>
      <c r="O11" s="702">
        <f>huishoudens!N8</f>
        <v>6.9370099757227157</v>
      </c>
      <c r="P11" s="702">
        <f>huishoudens!O8</f>
        <v>54.716666666666669</v>
      </c>
      <c r="Q11" s="703">
        <f>huishoudens!P8</f>
        <v>57.2</v>
      </c>
      <c r="R11" s="705">
        <f>SUM(C11:Q11)</f>
        <v>106622.50164507054</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1357.2282924388678</v>
      </c>
      <c r="D13" s="702">
        <f>industrie!C18</f>
        <v>0</v>
      </c>
      <c r="E13" s="702">
        <f>industrie!D18</f>
        <v>2406.3181905957235</v>
      </c>
      <c r="F13" s="702">
        <f>industrie!E18</f>
        <v>18.622547549667342</v>
      </c>
      <c r="G13" s="702">
        <f>industrie!F18</f>
        <v>605.47465457886221</v>
      </c>
      <c r="H13" s="702">
        <f>industrie!G18</f>
        <v>0</v>
      </c>
      <c r="I13" s="702">
        <f>industrie!H18</f>
        <v>0</v>
      </c>
      <c r="J13" s="702">
        <f>industrie!I18</f>
        <v>0</v>
      </c>
      <c r="K13" s="702">
        <f>industrie!J18</f>
        <v>3.3646427137238688</v>
      </c>
      <c r="L13" s="702">
        <f>industrie!K18</f>
        <v>0</v>
      </c>
      <c r="M13" s="702">
        <f>industrie!L18</f>
        <v>0</v>
      </c>
      <c r="N13" s="702">
        <f>industrie!M18</f>
        <v>0</v>
      </c>
      <c r="O13" s="702">
        <f>industrie!N18</f>
        <v>55.387017327036418</v>
      </c>
      <c r="P13" s="702">
        <f>industrie!O18</f>
        <v>0</v>
      </c>
      <c r="Q13" s="703">
        <f>industrie!P18</f>
        <v>0</v>
      </c>
      <c r="R13" s="705">
        <f>SUM(C13:Q13)</f>
        <v>4446.3953452038804</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71251.749922644434</v>
      </c>
      <c r="D15" s="707">
        <f t="shared" ref="D15:Q15" ca="1" si="0">SUM(D9:D14)</f>
        <v>0</v>
      </c>
      <c r="E15" s="707">
        <f t="shared" ca="1" si="0"/>
        <v>120077.45948489491</v>
      </c>
      <c r="F15" s="707">
        <f t="shared" si="0"/>
        <v>1223.7396834635417</v>
      </c>
      <c r="G15" s="707">
        <f t="shared" ca="1" si="0"/>
        <v>6115.654687488669</v>
      </c>
      <c r="H15" s="707">
        <f t="shared" si="0"/>
        <v>0</v>
      </c>
      <c r="I15" s="707">
        <f t="shared" si="0"/>
        <v>0</v>
      </c>
      <c r="J15" s="707">
        <f t="shared" si="0"/>
        <v>0</v>
      </c>
      <c r="K15" s="707">
        <f t="shared" si="0"/>
        <v>3.3646427137238688</v>
      </c>
      <c r="L15" s="707">
        <f t="shared" si="0"/>
        <v>0</v>
      </c>
      <c r="M15" s="707">
        <f t="shared" ca="1" si="0"/>
        <v>0</v>
      </c>
      <c r="N15" s="707">
        <f t="shared" si="0"/>
        <v>0</v>
      </c>
      <c r="O15" s="707">
        <f t="shared" ca="1" si="0"/>
        <v>533.56259042290526</v>
      </c>
      <c r="P15" s="707">
        <f t="shared" si="0"/>
        <v>59.406666666666666</v>
      </c>
      <c r="Q15" s="708">
        <f t="shared" si="0"/>
        <v>114.4</v>
      </c>
      <c r="R15" s="709">
        <f ca="1">SUM(R9:R14)</f>
        <v>199379.3376782948</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1283.8427614243833</v>
      </c>
      <c r="D18" s="702">
        <f>transport!C54</f>
        <v>0</v>
      </c>
      <c r="E18" s="702">
        <f>transport!D54</f>
        <v>0</v>
      </c>
      <c r="F18" s="702">
        <f>transport!E54</f>
        <v>0</v>
      </c>
      <c r="G18" s="702">
        <f>transport!F54</f>
        <v>0</v>
      </c>
      <c r="H18" s="702">
        <f>transport!G54</f>
        <v>336.24370381747167</v>
      </c>
      <c r="I18" s="702">
        <f>transport!H54</f>
        <v>0</v>
      </c>
      <c r="J18" s="702">
        <f>transport!I54</f>
        <v>0</v>
      </c>
      <c r="K18" s="702">
        <f>transport!J54</f>
        <v>0</v>
      </c>
      <c r="L18" s="702">
        <f>transport!K54</f>
        <v>0</v>
      </c>
      <c r="M18" s="702">
        <f>transport!L54</f>
        <v>0</v>
      </c>
      <c r="N18" s="702">
        <f>transport!M54</f>
        <v>14.332608290846849</v>
      </c>
      <c r="O18" s="702">
        <f>transport!N54</f>
        <v>0</v>
      </c>
      <c r="P18" s="702">
        <f>transport!O54</f>
        <v>0</v>
      </c>
      <c r="Q18" s="703">
        <f>transport!P54</f>
        <v>0</v>
      </c>
      <c r="R18" s="705">
        <f>SUM(C18:Q18)</f>
        <v>1634.4190735327018</v>
      </c>
      <c r="S18" s="67"/>
    </row>
    <row r="19" spans="1:19" s="457" customFormat="1" ht="15" thickBot="1">
      <c r="A19" s="858" t="s">
        <v>308</v>
      </c>
      <c r="B19" s="863"/>
      <c r="C19" s="711">
        <f>transport!B14</f>
        <v>0.67246562730628356</v>
      </c>
      <c r="D19" s="711">
        <f>transport!C14</f>
        <v>0</v>
      </c>
      <c r="E19" s="711">
        <f>transport!D14</f>
        <v>3.1851613535929104</v>
      </c>
      <c r="F19" s="711">
        <f>transport!E14</f>
        <v>325.54737604854421</v>
      </c>
      <c r="G19" s="711">
        <f>transport!F14</f>
        <v>0</v>
      </c>
      <c r="H19" s="711">
        <f>transport!G14</f>
        <v>63893.691364578954</v>
      </c>
      <c r="I19" s="711">
        <f>transport!H14</f>
        <v>10641.078215859476</v>
      </c>
      <c r="J19" s="711">
        <f>transport!I14</f>
        <v>0</v>
      </c>
      <c r="K19" s="711">
        <f>transport!J14</f>
        <v>0</v>
      </c>
      <c r="L19" s="711">
        <f>transport!K14</f>
        <v>0</v>
      </c>
      <c r="M19" s="711">
        <f>transport!L14</f>
        <v>0</v>
      </c>
      <c r="N19" s="711">
        <f>transport!M14</f>
        <v>3251.3867127521144</v>
      </c>
      <c r="O19" s="711">
        <f>transport!N14</f>
        <v>0</v>
      </c>
      <c r="P19" s="711">
        <f>transport!O14</f>
        <v>0</v>
      </c>
      <c r="Q19" s="712">
        <f>transport!P14</f>
        <v>0</v>
      </c>
      <c r="R19" s="713">
        <f>SUM(C19:Q19)</f>
        <v>78115.561296219981</v>
      </c>
      <c r="S19" s="67"/>
    </row>
    <row r="20" spans="1:19" s="457" customFormat="1" ht="15.75" thickBot="1">
      <c r="A20" s="714" t="s">
        <v>231</v>
      </c>
      <c r="B20" s="866"/>
      <c r="C20" s="861">
        <f>SUM(C17:C19)</f>
        <v>1284.5152270516896</v>
      </c>
      <c r="D20" s="715">
        <f t="shared" ref="D20:R20" si="1">SUM(D17:D19)</f>
        <v>0</v>
      </c>
      <c r="E20" s="715">
        <f t="shared" si="1"/>
        <v>3.1851613535929104</v>
      </c>
      <c r="F20" s="715">
        <f t="shared" si="1"/>
        <v>325.54737604854421</v>
      </c>
      <c r="G20" s="715">
        <f t="shared" si="1"/>
        <v>0</v>
      </c>
      <c r="H20" s="715">
        <f t="shared" si="1"/>
        <v>64229.935068396422</v>
      </c>
      <c r="I20" s="715">
        <f t="shared" si="1"/>
        <v>10641.078215859476</v>
      </c>
      <c r="J20" s="715">
        <f t="shared" si="1"/>
        <v>0</v>
      </c>
      <c r="K20" s="715">
        <f t="shared" si="1"/>
        <v>0</v>
      </c>
      <c r="L20" s="715">
        <f t="shared" si="1"/>
        <v>0</v>
      </c>
      <c r="M20" s="715">
        <f t="shared" si="1"/>
        <v>0</v>
      </c>
      <c r="N20" s="715">
        <f t="shared" si="1"/>
        <v>3265.7193210429614</v>
      </c>
      <c r="O20" s="715">
        <f t="shared" si="1"/>
        <v>0</v>
      </c>
      <c r="P20" s="715">
        <f t="shared" si="1"/>
        <v>0</v>
      </c>
      <c r="Q20" s="716">
        <f t="shared" si="1"/>
        <v>0</v>
      </c>
      <c r="R20" s="717">
        <f t="shared" si="1"/>
        <v>79749.98036975268</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1212.3478884865181</v>
      </c>
      <c r="D22" s="711">
        <f>+landbouw!C8</f>
        <v>0</v>
      </c>
      <c r="E22" s="711">
        <f>+landbouw!D8</f>
        <v>4438.1821469775377</v>
      </c>
      <c r="F22" s="711">
        <f>+landbouw!E8</f>
        <v>12.695969550845511</v>
      </c>
      <c r="G22" s="711">
        <f>+landbouw!F8</f>
        <v>6226.8117904712599</v>
      </c>
      <c r="H22" s="711">
        <f>+landbouw!G8</f>
        <v>0</v>
      </c>
      <c r="I22" s="711">
        <f>+landbouw!H8</f>
        <v>0</v>
      </c>
      <c r="J22" s="711">
        <f>+landbouw!I8</f>
        <v>0</v>
      </c>
      <c r="K22" s="711">
        <f>+landbouw!J8</f>
        <v>108.27353290134866</v>
      </c>
      <c r="L22" s="711">
        <f>+landbouw!K8</f>
        <v>0</v>
      </c>
      <c r="M22" s="711">
        <f>+landbouw!L8</f>
        <v>0</v>
      </c>
      <c r="N22" s="711">
        <f>+landbouw!M8</f>
        <v>0</v>
      </c>
      <c r="O22" s="711">
        <f>+landbouw!N8</f>
        <v>0</v>
      </c>
      <c r="P22" s="711">
        <f>+landbouw!O8</f>
        <v>0</v>
      </c>
      <c r="Q22" s="712">
        <f>+landbouw!P8</f>
        <v>0</v>
      </c>
      <c r="R22" s="713">
        <f>SUM(C22:Q22)</f>
        <v>11998.31132838751</v>
      </c>
      <c r="S22" s="67"/>
    </row>
    <row r="23" spans="1:19" s="457" customFormat="1" ht="17.25" thickTop="1" thickBot="1">
      <c r="A23" s="718" t="s">
        <v>116</v>
      </c>
      <c r="B23" s="852"/>
      <c r="C23" s="719">
        <f ca="1">C20+C15+C22</f>
        <v>73748.613038182637</v>
      </c>
      <c r="D23" s="719">
        <f t="shared" ref="D23:Q23" ca="1" si="2">D20+D15+D22</f>
        <v>0</v>
      </c>
      <c r="E23" s="719">
        <f t="shared" ca="1" si="2"/>
        <v>124518.82679322604</v>
      </c>
      <c r="F23" s="719">
        <f t="shared" si="2"/>
        <v>1561.9830290629316</v>
      </c>
      <c r="G23" s="719">
        <f t="shared" ca="1" si="2"/>
        <v>12342.46647795993</v>
      </c>
      <c r="H23" s="719">
        <f t="shared" si="2"/>
        <v>64229.935068396422</v>
      </c>
      <c r="I23" s="719">
        <f t="shared" si="2"/>
        <v>10641.078215859476</v>
      </c>
      <c r="J23" s="719">
        <f t="shared" si="2"/>
        <v>0</v>
      </c>
      <c r="K23" s="719">
        <f t="shared" si="2"/>
        <v>111.63817561507253</v>
      </c>
      <c r="L23" s="719">
        <f t="shared" si="2"/>
        <v>0</v>
      </c>
      <c r="M23" s="719">
        <f t="shared" ca="1" si="2"/>
        <v>0</v>
      </c>
      <c r="N23" s="719">
        <f t="shared" si="2"/>
        <v>3265.7193210429614</v>
      </c>
      <c r="O23" s="719">
        <f t="shared" ca="1" si="2"/>
        <v>533.56259042290526</v>
      </c>
      <c r="P23" s="719">
        <f t="shared" si="2"/>
        <v>59.406666666666666</v>
      </c>
      <c r="Q23" s="720">
        <f t="shared" si="2"/>
        <v>114.4</v>
      </c>
      <c r="R23" s="721">
        <f ca="1">R20+R15+R22</f>
        <v>291127.62937643501</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7119.2883193487924</v>
      </c>
      <c r="D36" s="702">
        <f ca="1">tertiair!C20</f>
        <v>0</v>
      </c>
      <c r="E36" s="702">
        <f ca="1">tertiair!D20</f>
        <v>9782.3257584470848</v>
      </c>
      <c r="F36" s="702">
        <f>tertiair!E20</f>
        <v>272.21392368973721</v>
      </c>
      <c r="G36" s="702">
        <f ca="1">tertiair!F20</f>
        <v>1471.2180687869186</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18645.046070272536</v>
      </c>
    </row>
    <row r="37" spans="1:18">
      <c r="A37" s="873" t="s">
        <v>226</v>
      </c>
      <c r="B37" s="880"/>
      <c r="C37" s="702">
        <f ca="1">huishoudens!B12</f>
        <v>8125.5081517311073</v>
      </c>
      <c r="D37" s="702">
        <f ca="1">huishoudens!C12</f>
        <v>0</v>
      </c>
      <c r="E37" s="702">
        <f>huishoudens!D12</f>
        <v>13987.244783001352</v>
      </c>
      <c r="F37" s="702">
        <f>huishoudens!E12</f>
        <v>1.3476661627122781</v>
      </c>
      <c r="G37" s="702">
        <f>huishoudens!F12</f>
        <v>0</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22114.100600895174</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296.02705048173885</v>
      </c>
      <c r="D39" s="702">
        <f ca="1">industrie!C22</f>
        <v>0</v>
      </c>
      <c r="E39" s="702">
        <f>industrie!D22</f>
        <v>486.07627450033618</v>
      </c>
      <c r="F39" s="702">
        <f>industrie!E22</f>
        <v>4.2273182937744869</v>
      </c>
      <c r="G39" s="702">
        <f>industrie!F22</f>
        <v>161.66173277255621</v>
      </c>
      <c r="H39" s="702">
        <f>industrie!G22</f>
        <v>0</v>
      </c>
      <c r="I39" s="702">
        <f>industrie!H22</f>
        <v>0</v>
      </c>
      <c r="J39" s="702">
        <f>industrie!I22</f>
        <v>0</v>
      </c>
      <c r="K39" s="702">
        <f>industrie!J22</f>
        <v>1.1910835206582495</v>
      </c>
      <c r="L39" s="702">
        <f>industrie!K22</f>
        <v>0</v>
      </c>
      <c r="M39" s="702">
        <f>industrie!L22</f>
        <v>0</v>
      </c>
      <c r="N39" s="702">
        <f>industrie!M22</f>
        <v>0</v>
      </c>
      <c r="O39" s="702">
        <f>industrie!N22</f>
        <v>0</v>
      </c>
      <c r="P39" s="702">
        <f>industrie!O22</f>
        <v>0</v>
      </c>
      <c r="Q39" s="812">
        <f>industrie!P22</f>
        <v>0</v>
      </c>
      <c r="R39" s="906">
        <f ca="1">SUM(C39:Q39)</f>
        <v>949.18345956906398</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15540.823521561637</v>
      </c>
      <c r="D41" s="747">
        <f t="shared" ref="D41:R41" ca="1" si="4">SUM(D35:D40)</f>
        <v>0</v>
      </c>
      <c r="E41" s="747">
        <f t="shared" ca="1" si="4"/>
        <v>24255.646815948774</v>
      </c>
      <c r="F41" s="747">
        <f t="shared" si="4"/>
        <v>277.788908146224</v>
      </c>
      <c r="G41" s="747">
        <f t="shared" ca="1" si="4"/>
        <v>1632.8798015594748</v>
      </c>
      <c r="H41" s="747">
        <f t="shared" si="4"/>
        <v>0</v>
      </c>
      <c r="I41" s="747">
        <f t="shared" si="4"/>
        <v>0</v>
      </c>
      <c r="J41" s="747">
        <f t="shared" si="4"/>
        <v>0</v>
      </c>
      <c r="K41" s="747">
        <f t="shared" si="4"/>
        <v>1.1910835206582495</v>
      </c>
      <c r="L41" s="747">
        <f t="shared" si="4"/>
        <v>0</v>
      </c>
      <c r="M41" s="747">
        <f t="shared" ca="1" si="4"/>
        <v>0</v>
      </c>
      <c r="N41" s="747">
        <f t="shared" si="4"/>
        <v>0</v>
      </c>
      <c r="O41" s="747">
        <f t="shared" ca="1" si="4"/>
        <v>0</v>
      </c>
      <c r="P41" s="747">
        <f t="shared" si="4"/>
        <v>0</v>
      </c>
      <c r="Q41" s="748">
        <f t="shared" si="4"/>
        <v>0</v>
      </c>
      <c r="R41" s="749">
        <f t="shared" ca="1" si="4"/>
        <v>41708.330130736773</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280.02082484138106</v>
      </c>
      <c r="D44" s="702">
        <f ca="1">transport!C58</f>
        <v>0</v>
      </c>
      <c r="E44" s="702">
        <f>transport!D58</f>
        <v>0</v>
      </c>
      <c r="F44" s="702">
        <f>transport!E58</f>
        <v>0</v>
      </c>
      <c r="G44" s="702">
        <f>transport!F58</f>
        <v>0</v>
      </c>
      <c r="H44" s="702">
        <f>transport!G58</f>
        <v>89.777068919264934</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369.79789376064599</v>
      </c>
    </row>
    <row r="45" spans="1:18" ht="15" thickBot="1">
      <c r="A45" s="876" t="s">
        <v>308</v>
      </c>
      <c r="B45" s="886"/>
      <c r="C45" s="711">
        <f ca="1">transport!B18</f>
        <v>0.14667246277641077</v>
      </c>
      <c r="D45" s="711">
        <f>transport!C18</f>
        <v>0</v>
      </c>
      <c r="E45" s="711">
        <f>transport!D18</f>
        <v>0.643402593425768</v>
      </c>
      <c r="F45" s="711">
        <f>transport!E18</f>
        <v>73.899254363019537</v>
      </c>
      <c r="G45" s="711">
        <f>transport!F18</f>
        <v>0</v>
      </c>
      <c r="H45" s="711">
        <f>transport!G18</f>
        <v>17059.61559434258</v>
      </c>
      <c r="I45" s="711">
        <f>transport!H18</f>
        <v>2649.6284757490093</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19783.933399510814</v>
      </c>
    </row>
    <row r="46" spans="1:18" ht="15.75" thickBot="1">
      <c r="A46" s="874" t="s">
        <v>231</v>
      </c>
      <c r="B46" s="887"/>
      <c r="C46" s="747">
        <f t="shared" ref="C46:R46" ca="1" si="5">SUM(C43:C45)</f>
        <v>280.16749730415745</v>
      </c>
      <c r="D46" s="747">
        <f t="shared" ca="1" si="5"/>
        <v>0</v>
      </c>
      <c r="E46" s="747">
        <f t="shared" si="5"/>
        <v>0.643402593425768</v>
      </c>
      <c r="F46" s="747">
        <f t="shared" si="5"/>
        <v>73.899254363019537</v>
      </c>
      <c r="G46" s="747">
        <f t="shared" si="5"/>
        <v>0</v>
      </c>
      <c r="H46" s="747">
        <f t="shared" si="5"/>
        <v>17149.392663261846</v>
      </c>
      <c r="I46" s="747">
        <f t="shared" si="5"/>
        <v>2649.6284757490093</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20153.731293271459</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264.42697340292364</v>
      </c>
      <c r="D48" s="702">
        <f ca="1">+landbouw!C12</f>
        <v>0</v>
      </c>
      <c r="E48" s="702">
        <f>+landbouw!D12</f>
        <v>896.51279368946268</v>
      </c>
      <c r="F48" s="702">
        <f>+landbouw!E12</f>
        <v>2.8819850880419313</v>
      </c>
      <c r="G48" s="702">
        <f>+landbouw!F12</f>
        <v>1662.5587480558265</v>
      </c>
      <c r="H48" s="702">
        <f>+landbouw!G12</f>
        <v>0</v>
      </c>
      <c r="I48" s="702">
        <f>+landbouw!H12</f>
        <v>0</v>
      </c>
      <c r="J48" s="702">
        <f>+landbouw!I12</f>
        <v>0</v>
      </c>
      <c r="K48" s="702">
        <f>+landbouw!J12</f>
        <v>38.328830647077424</v>
      </c>
      <c r="L48" s="702">
        <f>+landbouw!K12</f>
        <v>0</v>
      </c>
      <c r="M48" s="702">
        <f>+landbouw!L12</f>
        <v>0</v>
      </c>
      <c r="N48" s="702">
        <f>+landbouw!M12</f>
        <v>0</v>
      </c>
      <c r="O48" s="702">
        <f>+landbouw!N12</f>
        <v>0</v>
      </c>
      <c r="P48" s="702">
        <f>+landbouw!O12</f>
        <v>0</v>
      </c>
      <c r="Q48" s="703">
        <f>+landbouw!P12</f>
        <v>0</v>
      </c>
      <c r="R48" s="745">
        <f ca="1">SUM(C48:Q48)</f>
        <v>2864.7093308833323</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16085.417992268718</v>
      </c>
      <c r="D53" s="757">
        <f t="shared" ref="D53:Q53" ca="1" si="6">D41+D46+D48</f>
        <v>0</v>
      </c>
      <c r="E53" s="757">
        <f t="shared" ca="1" si="6"/>
        <v>25152.803012231663</v>
      </c>
      <c r="F53" s="757">
        <f t="shared" si="6"/>
        <v>354.57014759728543</v>
      </c>
      <c r="G53" s="757">
        <f t="shared" ca="1" si="6"/>
        <v>3295.4385496153013</v>
      </c>
      <c r="H53" s="757">
        <f t="shared" si="6"/>
        <v>17149.392663261846</v>
      </c>
      <c r="I53" s="757">
        <f t="shared" si="6"/>
        <v>2649.6284757490093</v>
      </c>
      <c r="J53" s="757">
        <f t="shared" si="6"/>
        <v>0</v>
      </c>
      <c r="K53" s="757">
        <f t="shared" si="6"/>
        <v>39.519914167735671</v>
      </c>
      <c r="L53" s="757">
        <f t="shared" si="6"/>
        <v>0</v>
      </c>
      <c r="M53" s="757">
        <f t="shared" ca="1" si="6"/>
        <v>0</v>
      </c>
      <c r="N53" s="757">
        <f t="shared" si="6"/>
        <v>0</v>
      </c>
      <c r="O53" s="757">
        <f t="shared" ca="1" si="6"/>
        <v>0</v>
      </c>
      <c r="P53" s="757">
        <f>P41+P46+P48</f>
        <v>0</v>
      </c>
      <c r="Q53" s="758">
        <f t="shared" si="6"/>
        <v>0</v>
      </c>
      <c r="R53" s="759">
        <f ca="1">R41+R46+R48</f>
        <v>64726.770754891571</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0.21811146446836427</v>
      </c>
      <c r="D55" s="823">
        <f t="shared" ca="1" si="7"/>
        <v>0</v>
      </c>
      <c r="E55" s="823">
        <f t="shared" ca="1" si="7"/>
        <v>0.20200000000000004</v>
      </c>
      <c r="F55" s="823">
        <f t="shared" si="7"/>
        <v>0.22699999999999998</v>
      </c>
      <c r="G55" s="823">
        <f t="shared" ca="1" si="7"/>
        <v>0.26700000000000002</v>
      </c>
      <c r="H55" s="823">
        <f t="shared" si="7"/>
        <v>0.26700000000000002</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963.9162405866166</v>
      </c>
      <c r="C66" s="779">
        <f>'lokale energieproductie'!B6</f>
        <v>963.9162405866166</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963.9162405866166</v>
      </c>
      <c r="C69" s="787">
        <f>SUM(C64:C68)</f>
        <v>963.9162405866166</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37253.925058623689</v>
      </c>
      <c r="C4" s="461">
        <f>huishoudens!C8</f>
        <v>0</v>
      </c>
      <c r="D4" s="461">
        <f>huishoudens!D8</f>
        <v>69243.786054462136</v>
      </c>
      <c r="E4" s="461">
        <f>huishoudens!E8</f>
        <v>5.9368553423448374</v>
      </c>
      <c r="F4" s="461">
        <f>huishoudens!F8</f>
        <v>0</v>
      </c>
      <c r="G4" s="461">
        <f>huishoudens!G8</f>
        <v>0</v>
      </c>
      <c r="H4" s="461">
        <f>huishoudens!H8</f>
        <v>0</v>
      </c>
      <c r="I4" s="461">
        <f>huishoudens!I8</f>
        <v>0</v>
      </c>
      <c r="J4" s="461">
        <f>huishoudens!J8</f>
        <v>0</v>
      </c>
      <c r="K4" s="461">
        <f>huishoudens!K8</f>
        <v>0</v>
      </c>
      <c r="L4" s="461">
        <f>huishoudens!L8</f>
        <v>0</v>
      </c>
      <c r="M4" s="461">
        <f>huishoudens!M8</f>
        <v>0</v>
      </c>
      <c r="N4" s="461">
        <f>huishoudens!N8</f>
        <v>6.9370099757227157</v>
      </c>
      <c r="O4" s="461">
        <f>huishoudens!O8</f>
        <v>54.716666666666669</v>
      </c>
      <c r="P4" s="462">
        <f>huishoudens!P8</f>
        <v>57.2</v>
      </c>
      <c r="Q4" s="463">
        <f>SUM(B4:P4)</f>
        <v>106622.50164507054</v>
      </c>
    </row>
    <row r="5" spans="1:17">
      <c r="A5" s="460" t="s">
        <v>156</v>
      </c>
      <c r="B5" s="461">
        <f ca="1">tertiair!B16</f>
        <v>30861.823571581866</v>
      </c>
      <c r="C5" s="461">
        <f ca="1">tertiair!C16</f>
        <v>0</v>
      </c>
      <c r="D5" s="461">
        <f ca="1">tertiair!D16</f>
        <v>48427.355239837052</v>
      </c>
      <c r="E5" s="461">
        <f>tertiair!E16</f>
        <v>1199.1802805715295</v>
      </c>
      <c r="F5" s="461">
        <f ca="1">tertiair!F16</f>
        <v>5510.1800329098069</v>
      </c>
      <c r="G5" s="461">
        <f>tertiair!G16</f>
        <v>0</v>
      </c>
      <c r="H5" s="461">
        <f>tertiair!H16</f>
        <v>0</v>
      </c>
      <c r="I5" s="461">
        <f>tertiair!I16</f>
        <v>0</v>
      </c>
      <c r="J5" s="461">
        <f>tertiair!J16</f>
        <v>0</v>
      </c>
      <c r="K5" s="461">
        <f>tertiair!K16</f>
        <v>0</v>
      </c>
      <c r="L5" s="461">
        <f ca="1">tertiair!L16</f>
        <v>0</v>
      </c>
      <c r="M5" s="461">
        <f>tertiair!M16</f>
        <v>0</v>
      </c>
      <c r="N5" s="461">
        <f ca="1">tertiair!N16</f>
        <v>471.23856312014613</v>
      </c>
      <c r="O5" s="461">
        <f>tertiair!O16</f>
        <v>4.6900000000000004</v>
      </c>
      <c r="P5" s="462">
        <f>tertiair!P16</f>
        <v>57.2</v>
      </c>
      <c r="Q5" s="460">
        <f t="shared" ref="Q5:Q13" ca="1" si="0">SUM(B5:P5)</f>
        <v>86531.667688020389</v>
      </c>
    </row>
    <row r="6" spans="1:17">
      <c r="A6" s="460" t="s">
        <v>195</v>
      </c>
      <c r="B6" s="461">
        <f>'openbare verlichting'!B8</f>
        <v>1778.7729999999999</v>
      </c>
      <c r="C6" s="461"/>
      <c r="D6" s="461"/>
      <c r="E6" s="461"/>
      <c r="F6" s="461"/>
      <c r="G6" s="461"/>
      <c r="H6" s="461"/>
      <c r="I6" s="461"/>
      <c r="J6" s="461"/>
      <c r="K6" s="461"/>
      <c r="L6" s="461"/>
      <c r="M6" s="461"/>
      <c r="N6" s="461"/>
      <c r="O6" s="461"/>
      <c r="P6" s="462"/>
      <c r="Q6" s="460">
        <f t="shared" si="0"/>
        <v>1778.7729999999999</v>
      </c>
    </row>
    <row r="7" spans="1:17">
      <c r="A7" s="460" t="s">
        <v>112</v>
      </c>
      <c r="B7" s="461">
        <f>landbouw!B8</f>
        <v>1212.3478884865181</v>
      </c>
      <c r="C7" s="461">
        <f>landbouw!C8</f>
        <v>0</v>
      </c>
      <c r="D7" s="461">
        <f>landbouw!D8</f>
        <v>4438.1821469775377</v>
      </c>
      <c r="E7" s="461">
        <f>landbouw!E8</f>
        <v>12.695969550845511</v>
      </c>
      <c r="F7" s="461">
        <f>landbouw!F8</f>
        <v>6226.8117904712599</v>
      </c>
      <c r="G7" s="461">
        <f>landbouw!G8</f>
        <v>0</v>
      </c>
      <c r="H7" s="461">
        <f>landbouw!H8</f>
        <v>0</v>
      </c>
      <c r="I7" s="461">
        <f>landbouw!I8</f>
        <v>0</v>
      </c>
      <c r="J7" s="461">
        <f>landbouw!J8</f>
        <v>108.27353290134866</v>
      </c>
      <c r="K7" s="461">
        <f>landbouw!K8</f>
        <v>0</v>
      </c>
      <c r="L7" s="461">
        <f>landbouw!L8</f>
        <v>0</v>
      </c>
      <c r="M7" s="461">
        <f>landbouw!M8</f>
        <v>0</v>
      </c>
      <c r="N7" s="461">
        <f>landbouw!N8</f>
        <v>0</v>
      </c>
      <c r="O7" s="461">
        <f>landbouw!O8</f>
        <v>0</v>
      </c>
      <c r="P7" s="462">
        <f>landbouw!P8</f>
        <v>0</v>
      </c>
      <c r="Q7" s="460">
        <f t="shared" si="0"/>
        <v>11998.31132838751</v>
      </c>
    </row>
    <row r="8" spans="1:17">
      <c r="A8" s="460" t="s">
        <v>656</v>
      </c>
      <c r="B8" s="461">
        <f>industrie!B18</f>
        <v>1357.2282924388678</v>
      </c>
      <c r="C8" s="461">
        <f>industrie!C18</f>
        <v>0</v>
      </c>
      <c r="D8" s="461">
        <f>industrie!D18</f>
        <v>2406.3181905957235</v>
      </c>
      <c r="E8" s="461">
        <f>industrie!E18</f>
        <v>18.622547549667342</v>
      </c>
      <c r="F8" s="461">
        <f>industrie!F18</f>
        <v>605.47465457886221</v>
      </c>
      <c r="G8" s="461">
        <f>industrie!G18</f>
        <v>0</v>
      </c>
      <c r="H8" s="461">
        <f>industrie!H18</f>
        <v>0</v>
      </c>
      <c r="I8" s="461">
        <f>industrie!I18</f>
        <v>0</v>
      </c>
      <c r="J8" s="461">
        <f>industrie!J18</f>
        <v>3.3646427137238688</v>
      </c>
      <c r="K8" s="461">
        <f>industrie!K18</f>
        <v>0</v>
      </c>
      <c r="L8" s="461">
        <f>industrie!L18</f>
        <v>0</v>
      </c>
      <c r="M8" s="461">
        <f>industrie!M18</f>
        <v>0</v>
      </c>
      <c r="N8" s="461">
        <f>industrie!N18</f>
        <v>55.387017327036418</v>
      </c>
      <c r="O8" s="461">
        <f>industrie!O18</f>
        <v>0</v>
      </c>
      <c r="P8" s="462">
        <f>industrie!P18</f>
        <v>0</v>
      </c>
      <c r="Q8" s="460">
        <f t="shared" si="0"/>
        <v>4446.3953452038804</v>
      </c>
    </row>
    <row r="9" spans="1:17" s="466" customFormat="1">
      <c r="A9" s="464" t="s">
        <v>574</v>
      </c>
      <c r="B9" s="465">
        <f>transport!B14</f>
        <v>0.67246562730628356</v>
      </c>
      <c r="C9" s="465">
        <f>transport!C14</f>
        <v>0</v>
      </c>
      <c r="D9" s="465">
        <f>transport!D14</f>
        <v>3.1851613535929104</v>
      </c>
      <c r="E9" s="465">
        <f>transport!E14</f>
        <v>325.54737604854421</v>
      </c>
      <c r="F9" s="465">
        <f>transport!F14</f>
        <v>0</v>
      </c>
      <c r="G9" s="465">
        <f>transport!G14</f>
        <v>63893.691364578954</v>
      </c>
      <c r="H9" s="465">
        <f>transport!H14</f>
        <v>10641.078215859476</v>
      </c>
      <c r="I9" s="465">
        <f>transport!I14</f>
        <v>0</v>
      </c>
      <c r="J9" s="465">
        <f>transport!J14</f>
        <v>0</v>
      </c>
      <c r="K9" s="465">
        <f>transport!K14</f>
        <v>0</v>
      </c>
      <c r="L9" s="465">
        <f>transport!L14</f>
        <v>0</v>
      </c>
      <c r="M9" s="465">
        <f>transport!M14</f>
        <v>3251.3867127521144</v>
      </c>
      <c r="N9" s="465">
        <f>transport!N14</f>
        <v>0</v>
      </c>
      <c r="O9" s="465">
        <f>transport!O14</f>
        <v>0</v>
      </c>
      <c r="P9" s="465">
        <f>transport!P14</f>
        <v>0</v>
      </c>
      <c r="Q9" s="464">
        <f>SUM(B9:P9)</f>
        <v>78115.561296219981</v>
      </c>
    </row>
    <row r="10" spans="1:17">
      <c r="A10" s="460" t="s">
        <v>564</v>
      </c>
      <c r="B10" s="461">
        <f>transport!B54</f>
        <v>1283.8427614243833</v>
      </c>
      <c r="C10" s="461">
        <f>transport!C54</f>
        <v>0</v>
      </c>
      <c r="D10" s="461">
        <f>transport!D54</f>
        <v>0</v>
      </c>
      <c r="E10" s="461">
        <f>transport!E54</f>
        <v>0</v>
      </c>
      <c r="F10" s="461">
        <f>transport!F54</f>
        <v>0</v>
      </c>
      <c r="G10" s="461">
        <f>transport!G54</f>
        <v>336.24370381747167</v>
      </c>
      <c r="H10" s="461">
        <f>transport!H54</f>
        <v>0</v>
      </c>
      <c r="I10" s="461">
        <f>transport!I54</f>
        <v>0</v>
      </c>
      <c r="J10" s="461">
        <f>transport!J54</f>
        <v>0</v>
      </c>
      <c r="K10" s="461">
        <f>transport!K54</f>
        <v>0</v>
      </c>
      <c r="L10" s="461">
        <f>transport!L54</f>
        <v>0</v>
      </c>
      <c r="M10" s="461">
        <f>transport!M54</f>
        <v>14.332608290846849</v>
      </c>
      <c r="N10" s="461">
        <f>transport!N54</f>
        <v>0</v>
      </c>
      <c r="O10" s="461">
        <f>transport!O54</f>
        <v>0</v>
      </c>
      <c r="P10" s="462">
        <f>transport!P54</f>
        <v>0</v>
      </c>
      <c r="Q10" s="460">
        <f t="shared" si="0"/>
        <v>1634.4190735327018</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73748.613038182622</v>
      </c>
      <c r="C14" s="471">
        <f t="shared" ref="C14:Q14" ca="1" si="1">SUM(C4:C13)</f>
        <v>0</v>
      </c>
      <c r="D14" s="471">
        <f t="shared" ca="1" si="1"/>
        <v>124518.82679322604</v>
      </c>
      <c r="E14" s="471">
        <f t="shared" si="1"/>
        <v>1561.9830290629316</v>
      </c>
      <c r="F14" s="471">
        <f t="shared" ca="1" si="1"/>
        <v>12342.46647795993</v>
      </c>
      <c r="G14" s="471">
        <f t="shared" si="1"/>
        <v>64229.935068396422</v>
      </c>
      <c r="H14" s="471">
        <f t="shared" si="1"/>
        <v>10641.078215859476</v>
      </c>
      <c r="I14" s="471">
        <f t="shared" si="1"/>
        <v>0</v>
      </c>
      <c r="J14" s="471">
        <f t="shared" si="1"/>
        <v>111.63817561507253</v>
      </c>
      <c r="K14" s="471">
        <f t="shared" si="1"/>
        <v>0</v>
      </c>
      <c r="L14" s="471">
        <f t="shared" ca="1" si="1"/>
        <v>0</v>
      </c>
      <c r="M14" s="471">
        <f t="shared" si="1"/>
        <v>3265.7193210429614</v>
      </c>
      <c r="N14" s="471">
        <f t="shared" ca="1" si="1"/>
        <v>533.56259042290526</v>
      </c>
      <c r="O14" s="471">
        <f t="shared" si="1"/>
        <v>59.406666666666666</v>
      </c>
      <c r="P14" s="472">
        <f t="shared" si="1"/>
        <v>114.4</v>
      </c>
      <c r="Q14" s="472">
        <f t="shared" ca="1" si="1"/>
        <v>291127.62937643495</v>
      </c>
    </row>
    <row r="16" spans="1:17">
      <c r="A16" s="474" t="s">
        <v>569</v>
      </c>
      <c r="B16" s="828">
        <f ca="1">huishoudens!B10</f>
        <v>0.2181114644683643</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8125.5081517311073</v>
      </c>
      <c r="C21" s="461">
        <f t="shared" ref="C21:C30" ca="1" si="3">C4*$C$16</f>
        <v>0</v>
      </c>
      <c r="D21" s="461">
        <f t="shared" ref="D21:D30" si="4">D4*$D$16</f>
        <v>13987.244783001352</v>
      </c>
      <c r="E21" s="461">
        <f t="shared" ref="E21:E30" si="5">E4*$E$16</f>
        <v>1.3476661627122781</v>
      </c>
      <c r="F21" s="461">
        <f t="shared" ref="F21:F30" si="6">F4*$F$16</f>
        <v>0</v>
      </c>
      <c r="G21" s="461">
        <f t="shared" ref="G21:G30" si="7">G4*$G$16</f>
        <v>0</v>
      </c>
      <c r="H21" s="461">
        <f t="shared" ref="H21:H30" si="8">H4*$H$16</f>
        <v>0</v>
      </c>
      <c r="I21" s="461">
        <f t="shared" ref="I21:I30" si="9">I4*$I$16</f>
        <v>0</v>
      </c>
      <c r="J21" s="461">
        <f t="shared" ref="J21:J30" si="10">J4*$J$16</f>
        <v>0</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22114.100600895174</v>
      </c>
    </row>
    <row r="22" spans="1:17">
      <c r="A22" s="460" t="s">
        <v>156</v>
      </c>
      <c r="B22" s="461">
        <f t="shared" ca="1" si="2"/>
        <v>6731.3175353620063</v>
      </c>
      <c r="C22" s="461">
        <f t="shared" ca="1" si="3"/>
        <v>0</v>
      </c>
      <c r="D22" s="461">
        <f t="shared" ca="1" si="4"/>
        <v>9782.3257584470848</v>
      </c>
      <c r="E22" s="461">
        <f t="shared" si="5"/>
        <v>272.21392368973721</v>
      </c>
      <c r="F22" s="461">
        <f t="shared" ca="1" si="6"/>
        <v>1471.2180687869186</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18257.075286285748</v>
      </c>
    </row>
    <row r="23" spans="1:17">
      <c r="A23" s="460" t="s">
        <v>195</v>
      </c>
      <c r="B23" s="461">
        <f t="shared" ca="1" si="2"/>
        <v>387.97078398678576</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387.97078398678576</v>
      </c>
    </row>
    <row r="24" spans="1:17">
      <c r="A24" s="460" t="s">
        <v>112</v>
      </c>
      <c r="B24" s="461">
        <f t="shared" ca="1" si="2"/>
        <v>264.42697340292364</v>
      </c>
      <c r="C24" s="461">
        <f t="shared" ca="1" si="3"/>
        <v>0</v>
      </c>
      <c r="D24" s="461">
        <f t="shared" si="4"/>
        <v>896.51279368946268</v>
      </c>
      <c r="E24" s="461">
        <f t="shared" si="5"/>
        <v>2.8819850880419313</v>
      </c>
      <c r="F24" s="461">
        <f t="shared" si="6"/>
        <v>1662.5587480558265</v>
      </c>
      <c r="G24" s="461">
        <f t="shared" si="7"/>
        <v>0</v>
      </c>
      <c r="H24" s="461">
        <f t="shared" si="8"/>
        <v>0</v>
      </c>
      <c r="I24" s="461">
        <f t="shared" si="9"/>
        <v>0</v>
      </c>
      <c r="J24" s="461">
        <f t="shared" si="10"/>
        <v>38.328830647077424</v>
      </c>
      <c r="K24" s="461">
        <f t="shared" si="11"/>
        <v>0</v>
      </c>
      <c r="L24" s="461">
        <f t="shared" si="12"/>
        <v>0</v>
      </c>
      <c r="M24" s="461">
        <f t="shared" si="13"/>
        <v>0</v>
      </c>
      <c r="N24" s="461">
        <f t="shared" si="14"/>
        <v>0</v>
      </c>
      <c r="O24" s="461">
        <f t="shared" si="15"/>
        <v>0</v>
      </c>
      <c r="P24" s="462">
        <f t="shared" si="16"/>
        <v>0</v>
      </c>
      <c r="Q24" s="460">
        <f t="shared" ca="1" si="17"/>
        <v>2864.7093308833323</v>
      </c>
    </row>
    <row r="25" spans="1:17">
      <c r="A25" s="460" t="s">
        <v>656</v>
      </c>
      <c r="B25" s="461">
        <f t="shared" ca="1" si="2"/>
        <v>296.02705048173885</v>
      </c>
      <c r="C25" s="461">
        <f t="shared" ca="1" si="3"/>
        <v>0</v>
      </c>
      <c r="D25" s="461">
        <f t="shared" si="4"/>
        <v>486.07627450033618</v>
      </c>
      <c r="E25" s="461">
        <f t="shared" si="5"/>
        <v>4.2273182937744869</v>
      </c>
      <c r="F25" s="461">
        <f t="shared" si="6"/>
        <v>161.66173277255621</v>
      </c>
      <c r="G25" s="461">
        <f t="shared" si="7"/>
        <v>0</v>
      </c>
      <c r="H25" s="461">
        <f t="shared" si="8"/>
        <v>0</v>
      </c>
      <c r="I25" s="461">
        <f t="shared" si="9"/>
        <v>0</v>
      </c>
      <c r="J25" s="461">
        <f t="shared" si="10"/>
        <v>1.1910835206582495</v>
      </c>
      <c r="K25" s="461">
        <f t="shared" si="11"/>
        <v>0</v>
      </c>
      <c r="L25" s="461">
        <f t="shared" si="12"/>
        <v>0</v>
      </c>
      <c r="M25" s="461">
        <f t="shared" si="13"/>
        <v>0</v>
      </c>
      <c r="N25" s="461">
        <f t="shared" si="14"/>
        <v>0</v>
      </c>
      <c r="O25" s="461">
        <f t="shared" si="15"/>
        <v>0</v>
      </c>
      <c r="P25" s="462">
        <f t="shared" si="16"/>
        <v>0</v>
      </c>
      <c r="Q25" s="460">
        <f t="shared" ca="1" si="17"/>
        <v>949.18345956906398</v>
      </c>
    </row>
    <row r="26" spans="1:17" s="466" customFormat="1">
      <c r="A26" s="464" t="s">
        <v>574</v>
      </c>
      <c r="B26" s="822">
        <f t="shared" ca="1" si="2"/>
        <v>0.14667246277641077</v>
      </c>
      <c r="C26" s="465">
        <f t="shared" ca="1" si="3"/>
        <v>0</v>
      </c>
      <c r="D26" s="465">
        <f t="shared" si="4"/>
        <v>0.643402593425768</v>
      </c>
      <c r="E26" s="465">
        <f t="shared" si="5"/>
        <v>73.899254363019537</v>
      </c>
      <c r="F26" s="465">
        <f t="shared" si="6"/>
        <v>0</v>
      </c>
      <c r="G26" s="465">
        <f t="shared" si="7"/>
        <v>17059.61559434258</v>
      </c>
      <c r="H26" s="465">
        <f t="shared" si="8"/>
        <v>2649.6284757490093</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19783.933399510814</v>
      </c>
    </row>
    <row r="27" spans="1:17">
      <c r="A27" s="460" t="s">
        <v>564</v>
      </c>
      <c r="B27" s="461">
        <f t="shared" ca="1" si="2"/>
        <v>280.02082484138106</v>
      </c>
      <c r="C27" s="461">
        <f t="shared" ca="1" si="3"/>
        <v>0</v>
      </c>
      <c r="D27" s="461">
        <f t="shared" si="4"/>
        <v>0</v>
      </c>
      <c r="E27" s="461">
        <f t="shared" si="5"/>
        <v>0</v>
      </c>
      <c r="F27" s="461">
        <f t="shared" si="6"/>
        <v>0</v>
      </c>
      <c r="G27" s="461">
        <f t="shared" si="7"/>
        <v>89.777068919264934</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369.79789376064599</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16085.417992268722</v>
      </c>
      <c r="C31" s="471">
        <f t="shared" ca="1" si="18"/>
        <v>0</v>
      </c>
      <c r="D31" s="471">
        <f t="shared" ca="1" si="18"/>
        <v>25152.803012231663</v>
      </c>
      <c r="E31" s="471">
        <f t="shared" si="18"/>
        <v>354.57014759728543</v>
      </c>
      <c r="F31" s="471">
        <f t="shared" ca="1" si="18"/>
        <v>3295.4385496153013</v>
      </c>
      <c r="G31" s="471">
        <f t="shared" si="18"/>
        <v>17149.392663261846</v>
      </c>
      <c r="H31" s="471">
        <f t="shared" si="18"/>
        <v>2649.6284757490093</v>
      </c>
      <c r="I31" s="471">
        <f t="shared" si="18"/>
        <v>0</v>
      </c>
      <c r="J31" s="471">
        <f t="shared" si="18"/>
        <v>39.519914167735671</v>
      </c>
      <c r="K31" s="471">
        <f t="shared" si="18"/>
        <v>0</v>
      </c>
      <c r="L31" s="471">
        <f t="shared" ca="1" si="18"/>
        <v>0</v>
      </c>
      <c r="M31" s="471">
        <f t="shared" si="18"/>
        <v>0</v>
      </c>
      <c r="N31" s="471">
        <f t="shared" ca="1" si="18"/>
        <v>0</v>
      </c>
      <c r="O31" s="471">
        <f t="shared" si="18"/>
        <v>0</v>
      </c>
      <c r="P31" s="472">
        <f t="shared" si="18"/>
        <v>0</v>
      </c>
      <c r="Q31" s="472">
        <f t="shared" ca="1" si="18"/>
        <v>64726.770754891571</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0.2181114644683643</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0.2181114644683643</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0.2181114644683643</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2018-06-27T09:01:36Z</dcterms:modified>
</cp:coreProperties>
</file>