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0" s="1"/>
  <c r="D31" i="20"/>
  <c r="E43" i="14" s="1"/>
  <c r="I101" i="18"/>
  <c r="H16" s="1"/>
  <c r="I78" i="14" s="1"/>
  <c r="I81"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B100"/>
  <c r="C7" s="1"/>
  <c r="D67" i="14" s="1"/>
  <c r="E9"/>
  <c r="J9"/>
  <c r="N9"/>
  <c r="N15" s="1"/>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I69" s="1"/>
  <c r="M68"/>
  <c r="M69" s="1"/>
  <c r="D19" i="18"/>
  <c r="L19"/>
  <c r="B68" i="14"/>
  <c r="G68"/>
  <c r="G69" s="1"/>
  <c r="K68"/>
  <c r="E81"/>
  <c r="M81"/>
  <c r="B19" i="18"/>
  <c r="F19"/>
  <c r="D11" i="14"/>
  <c r="C4" i="48"/>
  <c r="M8" i="18"/>
  <c r="M17"/>
  <c r="M18"/>
  <c r="D13" i="14"/>
  <c r="L5" i="17" l="1"/>
  <c r="L8" s="1"/>
  <c r="N8"/>
  <c r="N5"/>
  <c r="J81" i="14"/>
  <c r="L29" i="48"/>
  <c r="F7"/>
  <c r="F24" s="1"/>
  <c r="L30"/>
  <c r="P8"/>
  <c r="P25" s="1"/>
  <c r="I19" i="18"/>
  <c r="J16"/>
  <c r="K78" i="14" s="1"/>
  <c r="K81" s="1"/>
  <c r="H19" i="18"/>
  <c r="C9"/>
  <c r="B35" i="13"/>
  <c r="J12" i="17"/>
  <c r="K48" i="14" s="1"/>
  <c r="F12" i="17"/>
  <c r="G48" i="14" s="1"/>
  <c r="F100" i="18"/>
  <c r="I7" s="1"/>
  <c r="E9"/>
  <c r="E19"/>
  <c r="D81" i="14"/>
  <c r="O79"/>
  <c r="O81" s="1"/>
  <c r="B17" i="6" s="1"/>
  <c r="M23" i="48"/>
  <c r="L27"/>
  <c r="B9" i="18"/>
  <c r="M31" i="20"/>
  <c r="N43" i="14" s="1"/>
  <c r="M12" i="22"/>
  <c r="O18" i="16"/>
  <c r="B34" i="13"/>
  <c r="K22" i="14"/>
  <c r="M13"/>
  <c r="L8" i="48"/>
  <c r="L25" s="1"/>
  <c r="L22" i="16"/>
  <c r="M39" i="14" s="1"/>
  <c r="C7" i="48"/>
  <c r="D22" i="14"/>
  <c r="M22" i="48"/>
  <c r="B36" i="13"/>
  <c r="B48" s="1"/>
  <c r="C48" s="1"/>
  <c r="N5" s="1"/>
  <c r="N8" s="1"/>
  <c r="N4" i="48" s="1"/>
  <c r="N21" s="1"/>
  <c r="J7" i="18"/>
  <c r="O68" i="14"/>
  <c r="C68"/>
  <c r="F22"/>
  <c r="E8" i="17"/>
  <c r="D69" i="14"/>
  <c r="O67"/>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L7" l="1"/>
  <c r="L24" s="1"/>
  <c r="L12" i="17"/>
  <c r="M48" i="14" s="1"/>
  <c r="M22"/>
  <c r="R22" s="1"/>
  <c r="O22"/>
  <c r="N7" i="48"/>
  <c r="N24" s="1"/>
  <c r="N12" i="17"/>
  <c r="O48" i="14" s="1"/>
  <c r="J19" i="18"/>
  <c r="C14" i="48"/>
  <c r="C78" i="14"/>
  <c r="C81" s="1"/>
  <c r="E19"/>
  <c r="E20"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J5"/>
  <c r="J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25" i="48" l="1"/>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<sst xmlns="http://schemas.openxmlformats.org/spreadsheetml/2006/main" count="2038" uniqueCount="900">
  <si>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</si>
  <si>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</si>
  <si>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</si>
  <si>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</si>
  <si>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</si>
  <si>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</si>
  <si>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</si>
  <si>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</si>
  <si>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</si>
  <si>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</si>
  <si>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</si>
  <si>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</si>
  <si>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</si>
  <si>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</si>
  <si>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</si>
  <si>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</si>
  <si>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</si>
  <si>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</si>
  <si>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</si>
  <si>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</si>
  <si>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</si>
  <si>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</si>
  <si>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</si>
  <si>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</si>
  <si>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</si>
  <si>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</si>
  <si>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</si>
  <si>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</si>
  <si>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</si>
  <si>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</si>
  <si>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</si>
  <si>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</si>
  <si>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</si>
  <si>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</si>
  <si>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</si>
  <si>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</si>
  <si>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</si>
  <si>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</si>
  <si>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</si>
  <si>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</si>
  <si>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</si>
  <si>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</si>
  <si>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</si>
  <si>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</si>
  <si>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</si>
  <si>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</si>
  <si>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</si>
  <si>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</si>
  <si>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</si>
  <si>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</si>
  <si>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</si>
  <si>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</si>
  <si>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</si>
  <si>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</si>
  <si>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</si>
  <si>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</si>
  <si>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</si>
  <si>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</si>
  <si>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</si>
  <si>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</si>
  <si>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</si>
  <si>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</si>
  <si>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</si>
  <si>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</si>
  <si>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</si>
  <si>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</si>
  <si>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</si>
  <si>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</si>
  <si>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</si>
  <si>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</si>
  <si>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</si>
  <si>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</si>
  <si>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</si>
  <si>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</si>
  <si>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</si>
  <si>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</si>
  <si>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</si>
  <si>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</si>
  <si>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</si>
  <si>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</si>
  <si>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</si>
  <si>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</si>
  <si>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</si>
  <si>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</si>
  <si>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</si>
  <si>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</si>
  <si>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</si>
  <si>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</si>
  <si>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</si>
  <si>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</si>
  <si>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</si>
  <si>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</si>
  <si>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</si>
  <si>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</si>
  <si>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</si>
  <si>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</si>
  <si>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</si>
  <si>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</si>
  <si>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</si>
  <si>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</si>
  <si>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</si>
  <si>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</si>
  <si>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</si>
  <si>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</si>
  <si>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</si>
  <si>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</si>
  <si>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</si>
  <si>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</si>
  <si>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</si>
  <si>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</si>
  <si>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</si>
  <si>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</si>
  <si>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</si>
  <si>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</si>
  <si>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</si>
  <si>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</si>
  <si>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</si>
  <si>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</si>
  <si>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</si>
  <si>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</si>
  <si>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</si>
  <si>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</si>
  <si>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</si>
  <si>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</si>
  <si>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</si>
  <si>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</si>
  <si>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</si>
  <si>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</si>
  <si>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</si>
  <si>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</si>
  <si>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</si>
  <si>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</si>
  <si>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</si>
  <si>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</si>
  <si>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</si>
  <si>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</si>
  <si>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</si>
  <si>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</si>
  <si>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</si>
  <si>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</si>
  <si>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</si>
  <si>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</si>
  <si>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</si>
  <si>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</si>
  <si>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</si>
  <si>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</si>
  <si>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</si>
  <si>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</si>
  <si>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</si>
  <si>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</si>
  <si>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</si>
  <si>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</si>
  <si>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</si>
  <si>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</si>
  <si>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</si>
  <si>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</si>
  <si>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</si>
  <si>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</si>
  <si>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</si>
  <si>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</si>
  <si>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</si>
  <si>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</si>
  <si>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</si>
  <si>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</si>
  <si>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</si>
  <si>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</si>
  <si>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</si>
  <si>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</si>
  <si>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</si>
  <si>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</si>
  <si>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</si>
  <si>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</si>
  <si>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</si>
  <si>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</si>
  <si>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</si>
  <si>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</si>
  <si>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</si>
  <si>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</si>
  <si>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</si>
  <si>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</si>
  <si>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</si>
  <si>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</si>
  <si>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</si>
  <si>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</si>
  <si>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</si>
  <si>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</si>
  <si>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</si>
  <si>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</si>
  <si>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</si>
  <si>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</si>
  <si>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</si>
  <si>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</si>
  <si>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</si>
  <si>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</si>
  <si>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</si>
  <si>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</si>
  <si>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</si>
  <si>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</si>
  <si>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</si>
  <si>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</si>
  <si>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</si>
  <si>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</si>
  <si>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</si>
  <si>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</si>
  <si>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</si>
  <si>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</si>
  <si>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</si>
  <si>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</si>
  <si>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</si>
  <si>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</si>
  <si>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</si>
  <si>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</si>
  <si>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</si>
  <si>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</si>
  <si>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</si>
  <si>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</si>
  <si>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</si>
  <si>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</si>
  <si>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</si>
  <si>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</si>
  <si>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</si>
  <si>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</si>
  <si>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</si>
  <si>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</si>
  <si>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</si>
  <si>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</si>
  <si>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</si>
  <si>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</si>
  <si>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</si>
  <si>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</si>
  <si>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</si>
  <si>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</si>
  <si>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</si>
  <si>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</si>
  <si>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</si>
  <si>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</si>
  <si>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</si>
  <si>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</si>
  <si>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</si>
  <si>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</si>
  <si>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</si>
  <si>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</si>
  <si>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</si>
  <si>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</si>
  <si>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</si>
  <si>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</si>
  <si>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</si>
  <si>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</si>
  <si>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</si>
  <si>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</si>
  <si>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</si>
  <si>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</si>
  <si>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</si>
  <si>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</si>
  <si>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</si>
  <si>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</si>
  <si>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</si>
  <si>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</si>
  <si>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</si>
  <si>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</si>
  <si>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</si>
  <si>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</si>
  <si>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</si>
  <si>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</si>
  <si>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</si>
  <si>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</si>
  <si>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</si>
  <si>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</si>
  <si>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</si>
  <si>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</si>
  <si>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</si>
  <si>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</si>
  <si>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</si>
  <si>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</si>
  <si>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</si>
  <si>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</si>
  <si>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</si>
  <si>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</si>
  <si>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</si>
  <si>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</si>
  <si>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</si>
  <si>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</si>
  <si>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</si>
  <si>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</si>
  <si>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</si>
  <si>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</si>
  <si>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</si>
  <si>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</si>
  <si>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</si>
  <si>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</si>
  <si>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</si>
  <si>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</si>
  <si>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</si>
  <si>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</si>
  <si>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</si>
  <si>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</si>
  <si>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</si>
  <si>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</si>
  <si>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</si>
  <si>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</si>
  <si>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</si>
  <si>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</si>
  <si>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</si>
  <si>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</si>
  <si>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</si>
  <si>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</si>
  <si>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</si>
  <si>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</si>
  <si>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</si>
  <si>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</si>
  <si>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</si>
  <si>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</si>
  <si>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</si>
  <si>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</si>
  <si>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</si>
  <si>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</si>
  <si>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</si>
  <si>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</si>
  <si>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</si>
  <si>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</si>
  <si>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</si>
  <si>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</si>
  <si>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</si>
  <si>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</si>
  <si>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</si>
  <si>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</si>
  <si>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</si>
  <si>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</si>
  <si>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</si>
  <si>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</si>
  <si>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</si>
  <si>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</si>
  <si>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</si>
  <si>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</si>
  <si>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</si>
  <si>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</si>
  <si>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</si>
  <si>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</si>
  <si>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</si>
  <si>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</si>
  <si>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</si>
  <si>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</si>
  <si>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</si>
  <si>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</si>
  <si>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</si>
  <si>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</si>
  <si>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</si>
  <si>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</si>
  <si>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</si>
  <si>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</si>
  <si>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</si>
  <si>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</si>
  <si>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</si>
  <si>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</si>
  <si>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</si>
  <si>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</si>
  <si>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</si>
  <si>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</si>
  <si>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</si>
  <si>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</si>
  <si>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</si>
  <si>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</si>
  <si>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</si>
  <si>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</si>
  <si>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</si>
  <si>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</si>
  <si>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</si>
  <si>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</si>
  <si>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</si>
  <si>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</si>
  <si>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</si>
  <si>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</si>
  <si>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</si>
  <si>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</si>
  <si>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</si>
  <si>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</si>
  <si>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</si>
  <si>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</si>
  <si>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</si>
  <si>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</si>
  <si>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</si>
  <si>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</si>
  <si>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</si>
  <si>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</si>
  <si>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</si>
  <si>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</si>
  <si>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</si>
  <si>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</si>
  <si>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</si>
  <si>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</si>
  <si>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</si>
  <si>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</si>
  <si>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</si>
  <si>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</si>
  <si>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</si>
  <si>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</si>
  <si>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</si>
  <si>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</si>
  <si>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</si>
  <si>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</si>
  <si>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</si>
  <si>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</si>
  <si>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</si>
  <si>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</si>
  <si>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</si>
  <si>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</si>
  <si>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</si>
  <si>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</si>
  <si>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</si>
  <si>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</si>
  <si>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</si>
  <si>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</si>
  <si>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</si>
  <si>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</si>
  <si>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</si>
  <si>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</si>
  <si>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</si>
  <si>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</si>
  <si>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</si>
  <si>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</si>
  <si>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</si>
  <si>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</si>
  <si>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</si>
  <si>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</si>
  <si>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</si>
  <si>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</si>
  <si>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</si>
  <si>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</si>
  <si>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</si>
  <si>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</si>
  <si>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</si>
  <si>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</si>
  <si>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</si>
  <si>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</si>
  <si>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</si>
  <si>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</si>
  <si>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</si>
  <si>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</si>
  <si>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</si>
  <si>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</si>
  <si>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</si>
  <si>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</si>
  <si>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</si>
  <si>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</si>
  <si>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</si>
  <si>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</si>
  <si>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</si>
  <si>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</si>
  <si>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</si>
  <si>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</si>
  <si>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</si>
  <si>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</si>
  <si>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</si>
  <si>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</si>
  <si>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</si>
  <si>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</si>
  <si>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</si>
  <si>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</si>
  <si>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</si>
  <si>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</si>
  <si>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</si>
  <si>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</si>
  <si>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</si>
  <si>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</si>
  <si>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</si>
  <si>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</si>
  <si>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</si>
  <si>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</si>
  <si>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</si>
  <si>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</si>
  <si>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</si>
  <si>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</si>
  <si>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</si>
  <si>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</si>
  <si>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</si>
  <si>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</si>
  <si>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</si>
  <si>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</si>
  <si>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</si>
  <si>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</si>
  <si>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</si>
  <si>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</si>
  <si>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</si>
  <si>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</si>
  <si>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</si>
  <si>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</si>
  <si>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</si>
  <si>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</si>
  <si>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</si>
  <si>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</si>
  <si>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</si>
  <si>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</si>
  <si>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</si>
  <si>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</si>
  <si>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</si>
  <si>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</si>
  <si>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</si>
  <si>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</si>
  <si>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</si>
  <si>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</si>
  <si>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</si>
  <si>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</si>
  <si>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</si>
  <si>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</si>
  <si>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</si>
  <si>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</si>
  <si>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</si>
  <si>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</si>
  <si>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</si>
  <si>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</si>
  <si>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</si>
  <si>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</si>
  <si>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</si>
  <si>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</si>
  <si>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</si>
  <si>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</si>
  <si>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</si>
  <si>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</si>
  <si>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</si>
  <si>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</si>
  <si>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</si>
  <si>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</si>
  <si>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</si>
  <si>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</si>
  <si>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</si>
  <si>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</si>
  <si>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</si>
  <si>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</si>
  <si>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</si>
  <si>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</si>
  <si>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</si>
  <si>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</si>
  <si>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</si>
  <si>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</si>
  <si>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</si>
  <si>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</si>
  <si>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</si>
  <si>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</si>
  <si>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</si>
  <si>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</si>
  <si>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</si>
  <si>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</si>
  <si>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</si>
  <si>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</si>
  <si>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</si>
  <si>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</si>
  <si>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</si>
  <si>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</si>
  <si>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</si>
  <si>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</si>
  <si>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</si>
  <si>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</si>
  <si>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</si>
  <si>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</si>
  <si>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</si>
  <si>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</si>
  <si>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</si>
  <si>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</si>
  <si>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</si>
  <si>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</si>
  <si>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</si>
  <si>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</si>
  <si>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</si>
  <si>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</si>
  <si>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</si>
  <si>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</si>
  <si>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</si>
  <si>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</si>
  <si>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</si>
  <si>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</si>
  <si>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</si>
  <si>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</si>
  <si>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</si>
  <si>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</si>
  <si>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</si>
  <si>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</si>
  <si>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</si>
  <si>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</si>
  <si>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</si>
  <si>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</si>
  <si>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</si>
  <si>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</si>
  <si>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</si>
  <si>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</si>
  <si>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</si>
  <si>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</si>
  <si>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</si>
  <si>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</si>
  <si>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</si>
  <si>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</si>
  <si>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</si>
  <si>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</si>
  <si>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</si>
  <si>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</si>
  <si>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</si>
  <si>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</si>
  <si>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</si>
  <si>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</si>
  <si>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</si>
  <si>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</si>
  <si>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</si>
  <si>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</si>
  <si>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</si>
  <si>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</si>
  <si>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</si>
  <si>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</si>
  <si>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</si>
  <si>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</si>
  <si>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</si>
  <si>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</si>
  <si>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</si>
  <si>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</si>
  <si>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</si>
  <si>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</si>
  <si>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</si>
  <si>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</si>
  <si>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</si>
  <si>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</si>
  <si>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</si>
  <si>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</si>
  <si>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</si>
  <si>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</si>
  <si>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</si>
  <si>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</si>
  <si>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</si>
  <si>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</si>
  <si>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</si>
  <si>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</si>
  <si>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</si>
  <si>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</si>
  <si>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</si>
  <si>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</si>
  <si>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</si>
  <si>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</si>
  <si>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</si>
  <si>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</si>
  <si>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</si>
  <si>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</si>
  <si>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</si>
  <si>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</si>
  <si>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</si>
  <si>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</si>
  <si>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</si>
  <si>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</si>
  <si>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</si>
  <si>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</si>
  <si>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</si>
  <si>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</si>
  <si>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</si>
  <si>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</si>
  <si>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</si>
  <si>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</si>
  <si>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</si>
  <si>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</si>
  <si>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</si>
  <si>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</si>
  <si>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</si>
  <si>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</si>
  <si>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</si>
  <si>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</si>
  <si>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</si>
  <si>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</si>
  <si>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</si>
  <si>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</si>
  <si>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</si>
  <si>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</si>
  <si>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</si>
  <si>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</si>
  <si>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</si>
  <si>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</si>
  <si>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</si>
  <si>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</si>
  <si>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</si>
  <si>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</si>
  <si>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</si>
  <si>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</si>
  <si>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</si>
  <si>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</si>
  <si>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</si>
  <si>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</si>
  <si>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</si>
  <si>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</si>
  <si>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</si>
  <si>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</si>
  <si>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</si>
  <si>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</si>
  <si>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</si>
  <si>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</si>
  <si>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</si>
  <si>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</si>
  <si>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</si>
  <si>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</si>
  <si>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</si>
  <si>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</si>
  <si>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</si>
  <si>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</si>
  <si>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</si>
  <si>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</si>
  <si>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</si>
  <si>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</si>
  <si>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</si>
  <si>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</si>
  <si>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</si>
  <si>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</si>
  <si>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</si>
  <si>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</si>
  <si>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</si>
  <si>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</si>
  <si>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</si>
  <si>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</si>
  <si>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</si>
  <si>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</si>
  <si>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</si>
  <si>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</si>
  <si>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</si>
  <si>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</si>
  <si>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</si>
  <si>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</si>
  <si>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</si>
  <si>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</si>
  <si>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</si>
  <si>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</si>
  <si>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</si>
  <si>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</si>
  <si>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</si>
  <si>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</si>
  <si>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</si>
  <si>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</si>
  <si>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</si>
  <si>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</si>
  <si>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</si>
  <si>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</si>
  <si>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</si>
  <si>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</si>
  <si>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</si>
  <si>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</si>
  <si>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</si>
  <si>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</si>
  <si>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</si>
  <si>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</si>
  <si>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</si>
  <si>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</si>
  <si>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</si>
  <si>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</si>
  <si>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</si>
  <si>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</si>
  <si>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</si>
  <si>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</si>
  <si>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</si>
  <si>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</si>
  <si>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</si>
  <si>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</si>
  <si>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</si>
  <si>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</si>
  <si>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</si>
  <si>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</si>
  <si>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</si>
  <si>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</si>
  <si>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</si>
  <si>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</si>
  <si>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</si>
  <si>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</si>
  <si>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</si>
  <si>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</si>
  <si>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</si>
  <si>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</si>
  <si>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</si>
  <si>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</si>
  <si>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</si>
  <si>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</si>
  <si>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</si>
  <si>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</si>
  <si>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</si>
  <si>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</si>
  <si>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</si>
  <si>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</si>
  <si>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</si>
  <si>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</si>
  <si>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</si>
  <si>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</si>
  <si>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</si>
  <si>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</si>
  <si>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</si>
  <si>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</si>
  <si>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</si>
  <si>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</si>
  <si>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</si>
  <si>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</si>
  <si>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</si>
  <si>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</si>
  <si>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</si>
  <si>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</si>
  <si>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</si>
  <si>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</si>
  <si>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</si>
  <si>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</si>
  <si>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</si>
  <si>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</si>
  <si>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</si>
  <si>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</si>
  <si>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</si>
  <si>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</si>
  <si>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</si>
  <si>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</si>
  <si>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</si>
  <si>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</si>
  <si>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</si>
  <si>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</si>
  <si>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</si>
  <si>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</si>
  <si>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</si>
  <si>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</si>
  <si>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</si>
  <si>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</si>
  <si>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</si>
  <si>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</si>
  <si>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</si>
  <si>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</si>
  <si>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</si>
  <si>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</si>
  <si>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</si>
  <si>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</si>
  <si>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</si>
  <si>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</si>
  <si>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</si>
  <si>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</si>
  <si>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</si>
  <si>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</si>
  <si>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</si>
  <si>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</si>
  <si>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</si>
  <si>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</si>
  <si>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</si>
  <si>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</si>
  <si>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</si>
  <si>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</si>
  <si>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</si>
  <si>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</si>
  <si>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</si>
  <si>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</si>
  <si>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</si>
  <si>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</si>
  <si>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</si>
  <si>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</si>
  <si>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</si>
  <si>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</si>
  <si>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</si>
  <si>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</si>
  <si>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</si>
  <si>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</si>
  <si>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</si>
  <si>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</si>
  <si>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</si>
  <si>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</si>
  <si>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</si>
  <si>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</si>
  <si>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</si>
  <si>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</si>
  <si>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</si>
  <si>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</si>
  <si>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</si>
  <si>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</si>
  <si>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</si>
  <si>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</si>
  <si>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</si>
  <si>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</si>
  <si>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</si>
  <si>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</si>
  <si>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</si>
  <si>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</si>
  <si>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</si>
  <si>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</si>
  <si>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</si>
  <si>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</si>
  <si>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</si>
  <si>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</si>
  <si>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</si>
  <si>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</si>
  <si>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</si>
  <si>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</si>
  <si>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</si>
  <si>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</si>
  <si>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</si>
  <si>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</si>
  <si>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</si>
  <si>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35006</t>
  </si>
  <si>
    <t>ICHTEGEM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</si>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</sst>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35006</v>
      </c>
      <c r="B6" s="396"/>
      <c r="C6" s="397"/>
    </row>
    <row r="7" spans="1:7" s="394" customFormat="1" ht="15.75" customHeight="1">
      <c r="A7" s="398" t="str">
        <f>txtMunicipality</f>
        <v>ICHTEGEM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11358.92071168431</v>
      </c>
      <c r="D10" s="702">
        <f ca="1">tertiair!C16</f>
        <v>0</v>
      </c>
      <c r="E10" s="702">
        <f ca="1">tertiair!D16</f>
        <v>12780.563371535809</v>
      </c>
      <c r="F10" s="702">
        <f>tertiair!E16</f>
        <v>185.79034469054127</v>
      </c>
      <c r="G10" s="702">
        <f ca="1">tertiair!F16</f>
        <v>1921.2135319836445</v>
      </c>
      <c r="H10" s="702">
        <f>tertiair!G16</f>
        <v>0</v>
      </c>
      <c r="I10" s="702">
        <f>tertiair!H16</f>
        <v>0</v>
      </c>
      <c r="J10" s="702">
        <f>tertiair!I16</f>
        <v>0</v>
      </c>
      <c r="K10" s="702">
        <f>tertiair!J16</f>
        <v>0</v>
      </c>
      <c r="L10" s="702">
        <f>tertiair!K16</f>
        <v>0</v>
      </c>
      <c r="M10" s="702">
        <f ca="1">tertiair!L16</f>
        <v>0</v>
      </c>
      <c r="N10" s="702">
        <f>tertiair!M16</f>
        <v>0</v>
      </c>
      <c r="O10" s="702">
        <f ca="1">tertiair!N16</f>
        <v>380.20726773250288</v>
      </c>
      <c r="P10" s="702">
        <f>tertiair!O16</f>
        <v>1.5633333333333335</v>
      </c>
      <c r="Q10" s="703">
        <f>tertiair!P16</f>
        <v>19.066666666666666</v>
      </c>
      <c r="R10" s="705">
        <f ca="1">SUM(C10:Q10)</f>
        <v>26647.325227626803</v>
      </c>
      <c r="S10" s="67"/>
    </row>
    <row r="11" spans="1:19" s="457" customFormat="1">
      <c r="A11" s="858" t="s">
        <v>226</v>
      </c>
      <c r="B11" s="863"/>
      <c r="C11" s="702">
        <f>huishoudens!B8</f>
        <v>24253.775955309571</v>
      </c>
      <c r="D11" s="702">
        <f>huishoudens!C8</f>
        <v>0</v>
      </c>
      <c r="E11" s="702">
        <f>huishoudens!D8</f>
        <v>50489.942469720867</v>
      </c>
      <c r="F11" s="702">
        <f>huishoudens!E8</f>
        <v>6302.016775964621</v>
      </c>
      <c r="G11" s="702">
        <f>huishoudens!F8</f>
        <v>17858.609310049997</v>
      </c>
      <c r="H11" s="702">
        <f>huishoudens!G8</f>
        <v>0</v>
      </c>
      <c r="I11" s="702">
        <f>huishoudens!H8</f>
        <v>0</v>
      </c>
      <c r="J11" s="702">
        <f>huishoudens!I8</f>
        <v>0</v>
      </c>
      <c r="K11" s="702">
        <f>huishoudens!J8</f>
        <v>2948.9257711548853</v>
      </c>
      <c r="L11" s="702">
        <f>huishoudens!K8</f>
        <v>0</v>
      </c>
      <c r="M11" s="702">
        <f>huishoudens!L8</f>
        <v>0</v>
      </c>
      <c r="N11" s="702">
        <f>huishoudens!M8</f>
        <v>0</v>
      </c>
      <c r="O11" s="702">
        <f>huishoudens!N8</f>
        <v>18115.493345740852</v>
      </c>
      <c r="P11" s="702">
        <f>huishoudens!O8</f>
        <v>60.970000000000006</v>
      </c>
      <c r="Q11" s="703">
        <f>huishoudens!P8</f>
        <v>57.2</v>
      </c>
      <c r="R11" s="705">
        <f>SUM(C11:Q11)</f>
        <v>120086.93362794079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9649.3378039563377</v>
      </c>
      <c r="D13" s="702">
        <f>industrie!C18</f>
        <v>0</v>
      </c>
      <c r="E13" s="702">
        <f>industrie!D18</f>
        <v>73665.861895388429</v>
      </c>
      <c r="F13" s="702">
        <f>industrie!E18</f>
        <v>102.10024142719898</v>
      </c>
      <c r="G13" s="702">
        <f>industrie!F18</f>
        <v>2667.986948294285</v>
      </c>
      <c r="H13" s="702">
        <f>industrie!G18</f>
        <v>0</v>
      </c>
      <c r="I13" s="702">
        <f>industrie!H18</f>
        <v>0</v>
      </c>
      <c r="J13" s="702">
        <f>industrie!I18</f>
        <v>0</v>
      </c>
      <c r="K13" s="702">
        <f>industrie!J18</f>
        <v>39.543765629792645</v>
      </c>
      <c r="L13" s="702">
        <f>industrie!K18</f>
        <v>0</v>
      </c>
      <c r="M13" s="702">
        <f>industrie!L18</f>
        <v>0</v>
      </c>
      <c r="N13" s="702">
        <f>industrie!M18</f>
        <v>0</v>
      </c>
      <c r="O13" s="702">
        <f>industrie!N18</f>
        <v>244.51356942019845</v>
      </c>
      <c r="P13" s="702">
        <f>industrie!O18</f>
        <v>0</v>
      </c>
      <c r="Q13" s="703">
        <f>industrie!P18</f>
        <v>0</v>
      </c>
      <c r="R13" s="705">
        <f>SUM(C13:Q13)</f>
        <v>86369.344224116241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45262.034470950224</v>
      </c>
      <c r="D15" s="707">
        <f t="shared" ref="D15:Q15" ca="1" si="0">SUM(D9:D14)</f>
        <v>0</v>
      </c>
      <c r="E15" s="707">
        <f t="shared" ca="1" si="0"/>
        <v>136936.3677366451</v>
      </c>
      <c r="F15" s="707">
        <f t="shared" si="0"/>
        <v>6589.907362082361</v>
      </c>
      <c r="G15" s="707">
        <f t="shared" ca="1" si="0"/>
        <v>22447.809790327927</v>
      </c>
      <c r="H15" s="707">
        <f t="shared" si="0"/>
        <v>0</v>
      </c>
      <c r="I15" s="707">
        <f t="shared" si="0"/>
        <v>0</v>
      </c>
      <c r="J15" s="707">
        <f t="shared" si="0"/>
        <v>0</v>
      </c>
      <c r="K15" s="707">
        <f t="shared" si="0"/>
        <v>2988.469536784678</v>
      </c>
      <c r="L15" s="707">
        <f t="shared" si="0"/>
        <v>0</v>
      </c>
      <c r="M15" s="707">
        <f t="shared" ca="1" si="0"/>
        <v>0</v>
      </c>
      <c r="N15" s="707">
        <f t="shared" si="0"/>
        <v>0</v>
      </c>
      <c r="O15" s="707">
        <f t="shared" ca="1" si="0"/>
        <v>18740.214182893553</v>
      </c>
      <c r="P15" s="707">
        <f t="shared" si="0"/>
        <v>62.533333333333339</v>
      </c>
      <c r="Q15" s="708">
        <f t="shared" si="0"/>
        <v>76.266666666666666</v>
      </c>
      <c r="R15" s="709">
        <f ca="1">SUM(R9:R14)</f>
        <v>233103.60307968385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1263.9939011086617</v>
      </c>
      <c r="I18" s="702">
        <f>transport!H54</f>
        <v>0</v>
      </c>
      <c r="J18" s="702">
        <f>transport!I54</f>
        <v>0</v>
      </c>
      <c r="K18" s="702">
        <f>transport!J54</f>
        <v>0</v>
      </c>
      <c r="L18" s="702">
        <f>transport!K54</f>
        <v>0</v>
      </c>
      <c r="M18" s="702">
        <f>transport!L54</f>
        <v>0</v>
      </c>
      <c r="N18" s="702">
        <f>transport!M54</f>
        <v>53.878568612378309</v>
      </c>
      <c r="O18" s="702">
        <f>transport!N54</f>
        <v>0</v>
      </c>
      <c r="P18" s="702">
        <f>transport!O54</f>
        <v>0</v>
      </c>
      <c r="Q18" s="703">
        <f>transport!P54</f>
        <v>0</v>
      </c>
      <c r="R18" s="705">
        <f>SUM(C18:Q18)</f>
        <v>1317.87246972104</v>
      </c>
      <c r="S18" s="67"/>
    </row>
    <row r="19" spans="1:19" s="457" customFormat="1" ht="15" thickBot="1">
      <c r="A19" s="858" t="s">
        <v>308</v>
      </c>
      <c r="B19" s="863"/>
      <c r="C19" s="711">
        <f>transport!B14</f>
        <v>0.56078611705249093</v>
      </c>
      <c r="D19" s="711">
        <f>transport!C14</f>
        <v>0</v>
      </c>
      <c r="E19" s="711">
        <f>transport!D14</f>
        <v>3.0802479061237649</v>
      </c>
      <c r="F19" s="711">
        <f>transport!E14</f>
        <v>306.93777124951004</v>
      </c>
      <c r="G19" s="711">
        <f>transport!F14</f>
        <v>0</v>
      </c>
      <c r="H19" s="711">
        <f>transport!G14</f>
        <v>50992.510916705265</v>
      </c>
      <c r="I19" s="711">
        <f>transport!H14</f>
        <v>10153.954662914461</v>
      </c>
      <c r="J19" s="711">
        <f>transport!I14</f>
        <v>0</v>
      </c>
      <c r="K19" s="711">
        <f>transport!J14</f>
        <v>0</v>
      </c>
      <c r="L19" s="711">
        <f>transport!K14</f>
        <v>0</v>
      </c>
      <c r="M19" s="711">
        <f>transport!L14</f>
        <v>0</v>
      </c>
      <c r="N19" s="711">
        <f>transport!M14</f>
        <v>2671.7476390966513</v>
      </c>
      <c r="O19" s="711">
        <f>transport!N14</f>
        <v>0</v>
      </c>
      <c r="P19" s="711">
        <f>transport!O14</f>
        <v>0</v>
      </c>
      <c r="Q19" s="712">
        <f>transport!P14</f>
        <v>0</v>
      </c>
      <c r="R19" s="713">
        <f>SUM(C19:Q19)</f>
        <v>64128.792023989066</v>
      </c>
      <c r="S19" s="67"/>
    </row>
    <row r="20" spans="1:19" s="457" customFormat="1" ht="15.75" thickBot="1">
      <c r="A20" s="714" t="s">
        <v>231</v>
      </c>
      <c r="B20" s="866"/>
      <c r="C20" s="861">
        <f>SUM(C17:C19)</f>
        <v>0.56078611705249093</v>
      </c>
      <c r="D20" s="715">
        <f t="shared" ref="D20:R20" si="1">SUM(D17:D19)</f>
        <v>0</v>
      </c>
      <c r="E20" s="715">
        <f t="shared" si="1"/>
        <v>3.0802479061237649</v>
      </c>
      <c r="F20" s="715">
        <f t="shared" si="1"/>
        <v>306.93777124951004</v>
      </c>
      <c r="G20" s="715">
        <f t="shared" si="1"/>
        <v>0</v>
      </c>
      <c r="H20" s="715">
        <f t="shared" si="1"/>
        <v>52256.504817813926</v>
      </c>
      <c r="I20" s="715">
        <f t="shared" si="1"/>
        <v>10153.954662914461</v>
      </c>
      <c r="J20" s="715">
        <f t="shared" si="1"/>
        <v>0</v>
      </c>
      <c r="K20" s="715">
        <f t="shared" si="1"/>
        <v>0</v>
      </c>
      <c r="L20" s="715">
        <f t="shared" si="1"/>
        <v>0</v>
      </c>
      <c r="M20" s="715">
        <f t="shared" si="1"/>
        <v>0</v>
      </c>
      <c r="N20" s="715">
        <f t="shared" si="1"/>
        <v>2725.6262077090296</v>
      </c>
      <c r="O20" s="715">
        <f t="shared" si="1"/>
        <v>0</v>
      </c>
      <c r="P20" s="715">
        <f t="shared" si="1"/>
        <v>0</v>
      </c>
      <c r="Q20" s="716">
        <f t="shared" si="1"/>
        <v>0</v>
      </c>
      <c r="R20" s="717">
        <f t="shared" si="1"/>
        <v>65446.664493710108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3391.9366051350057</v>
      </c>
      <c r="D22" s="711">
        <f>+landbouw!C8</f>
        <v>27392.142857142859</v>
      </c>
      <c r="E22" s="711">
        <f>+landbouw!D8</f>
        <v>0</v>
      </c>
      <c r="F22" s="711">
        <f>+landbouw!E8</f>
        <v>35.52109445330322</v>
      </c>
      <c r="G22" s="711">
        <f>+landbouw!F8</f>
        <v>17421.52648259476</v>
      </c>
      <c r="H22" s="711">
        <f>+landbouw!G8</f>
        <v>0</v>
      </c>
      <c r="I22" s="711">
        <f>+landbouw!H8</f>
        <v>0</v>
      </c>
      <c r="J22" s="711">
        <f>+landbouw!I8</f>
        <v>0</v>
      </c>
      <c r="K22" s="711">
        <f>+landbouw!J8</f>
        <v>302.93034128500324</v>
      </c>
      <c r="L22" s="711">
        <f>+landbouw!K8</f>
        <v>0</v>
      </c>
      <c r="M22" s="711">
        <f>+landbouw!L8</f>
        <v>0</v>
      </c>
      <c r="N22" s="711">
        <f>+landbouw!M8</f>
        <v>0</v>
      </c>
      <c r="O22" s="711">
        <f>+landbouw!N8</f>
        <v>0</v>
      </c>
      <c r="P22" s="711">
        <f>+landbouw!O8</f>
        <v>0</v>
      </c>
      <c r="Q22" s="712">
        <f>+landbouw!P8</f>
        <v>0</v>
      </c>
      <c r="R22" s="713">
        <f>SUM(C22:Q22)</f>
        <v>48544.057380610931</v>
      </c>
      <c r="S22" s="67"/>
    </row>
    <row r="23" spans="1:19" s="457" customFormat="1" ht="17.25" thickTop="1" thickBot="1">
      <c r="A23" s="718" t="s">
        <v>116</v>
      </c>
      <c r="B23" s="852"/>
      <c r="C23" s="719">
        <f ca="1">C20+C15+C22</f>
        <v>48654.531862202282</v>
      </c>
      <c r="D23" s="719">
        <f t="shared" ref="D23:Q23" ca="1" si="2">D20+D15+D22</f>
        <v>27392.142857142859</v>
      </c>
      <c r="E23" s="719">
        <f t="shared" ca="1" si="2"/>
        <v>136939.44798455123</v>
      </c>
      <c r="F23" s="719">
        <f t="shared" si="2"/>
        <v>6932.3662277851736</v>
      </c>
      <c r="G23" s="719">
        <f t="shared" ca="1" si="2"/>
        <v>39869.336272922686</v>
      </c>
      <c r="H23" s="719">
        <f t="shared" si="2"/>
        <v>52256.504817813926</v>
      </c>
      <c r="I23" s="719">
        <f t="shared" si="2"/>
        <v>10153.954662914461</v>
      </c>
      <c r="J23" s="719">
        <f t="shared" si="2"/>
        <v>0</v>
      </c>
      <c r="K23" s="719">
        <f t="shared" si="2"/>
        <v>3291.3998780696811</v>
      </c>
      <c r="L23" s="719">
        <f t="shared" si="2"/>
        <v>0</v>
      </c>
      <c r="M23" s="719">
        <f t="shared" ca="1" si="2"/>
        <v>0</v>
      </c>
      <c r="N23" s="719">
        <f t="shared" si="2"/>
        <v>2725.6262077090296</v>
      </c>
      <c r="O23" s="719">
        <f t="shared" ca="1" si="2"/>
        <v>18740.214182893553</v>
      </c>
      <c r="P23" s="719">
        <f t="shared" si="2"/>
        <v>62.533333333333339</v>
      </c>
      <c r="Q23" s="720">
        <f t="shared" si="2"/>
        <v>76.266666666666666</v>
      </c>
      <c r="R23" s="721">
        <f ca="1">R20+R15+R22</f>
        <v>347094.32495400484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2456.7261069671999</v>
      </c>
      <c r="D36" s="702">
        <f ca="1">tertiair!C20</f>
        <v>0</v>
      </c>
      <c r="E36" s="702">
        <f ca="1">tertiair!D20</f>
        <v>2581.6738010502336</v>
      </c>
      <c r="F36" s="702">
        <f>tertiair!E20</f>
        <v>42.174408244752868</v>
      </c>
      <c r="G36" s="702">
        <f ca="1">tertiair!F20</f>
        <v>512.96401303963307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5593.5383293018194</v>
      </c>
    </row>
    <row r="37" spans="1:18">
      <c r="A37" s="873" t="s">
        <v>226</v>
      </c>
      <c r="B37" s="880"/>
      <c r="C37" s="702">
        <f ca="1">huishoudens!B12</f>
        <v>5245.6466678784545</v>
      </c>
      <c r="D37" s="702">
        <f ca="1">huishoudens!C12</f>
        <v>0</v>
      </c>
      <c r="E37" s="702">
        <f>huishoudens!D12</f>
        <v>10198.968378883616</v>
      </c>
      <c r="F37" s="702">
        <f>huishoudens!E12</f>
        <v>1430.5578081439689</v>
      </c>
      <c r="G37" s="702">
        <f>huishoudens!F12</f>
        <v>4768.2486857833492</v>
      </c>
      <c r="H37" s="702">
        <f>huishoudens!G12</f>
        <v>0</v>
      </c>
      <c r="I37" s="702">
        <f>huishoudens!H12</f>
        <v>0</v>
      </c>
      <c r="J37" s="702">
        <f>huishoudens!I12</f>
        <v>0</v>
      </c>
      <c r="K37" s="702">
        <f>huishoudens!J12</f>
        <v>1043.9197229888293</v>
      </c>
      <c r="L37" s="702">
        <f>huishoudens!K12</f>
        <v>0</v>
      </c>
      <c r="M37" s="702">
        <f>huishoudens!L12</f>
        <v>0</v>
      </c>
      <c r="N37" s="702">
        <f>huishoudens!M12</f>
        <v>0</v>
      </c>
      <c r="O37" s="702">
        <f>huishoudens!N12</f>
        <v>0</v>
      </c>
      <c r="P37" s="702">
        <f>huishoudens!O12</f>
        <v>0</v>
      </c>
      <c r="Q37" s="812">
        <f>huishoudens!P12</f>
        <v>0</v>
      </c>
      <c r="R37" s="905">
        <f ca="1">SUM(C37:Q37)</f>
        <v>22687.34126367822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2086.9746958916812</v>
      </c>
      <c r="D39" s="702">
        <f ca="1">industrie!C22</f>
        <v>0</v>
      </c>
      <c r="E39" s="702">
        <f>industrie!D22</f>
        <v>14880.504102868463</v>
      </c>
      <c r="F39" s="702">
        <f>industrie!E22</f>
        <v>23.17675480397417</v>
      </c>
      <c r="G39" s="702">
        <f>industrie!F22</f>
        <v>712.35251519457415</v>
      </c>
      <c r="H39" s="702">
        <f>industrie!G22</f>
        <v>0</v>
      </c>
      <c r="I39" s="702">
        <f>industrie!H22</f>
        <v>0</v>
      </c>
      <c r="J39" s="702">
        <f>industrie!I22</f>
        <v>0</v>
      </c>
      <c r="K39" s="702">
        <f>industrie!J22</f>
        <v>13.998493032946596</v>
      </c>
      <c r="L39" s="702">
        <f>industrie!K22</f>
        <v>0</v>
      </c>
      <c r="M39" s="702">
        <f>industrie!L22</f>
        <v>0</v>
      </c>
      <c r="N39" s="702">
        <f>industrie!M22</f>
        <v>0</v>
      </c>
      <c r="O39" s="702">
        <f>industrie!N22</f>
        <v>0</v>
      </c>
      <c r="P39" s="702">
        <f>industrie!O22</f>
        <v>0</v>
      </c>
      <c r="Q39" s="812">
        <f>industrie!P22</f>
        <v>0</v>
      </c>
      <c r="R39" s="906">
        <f ca="1">SUM(C39:Q39)</f>
        <v>17717.006561791644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9789.3474707373352</v>
      </c>
      <c r="D41" s="747">
        <f t="shared" ref="D41:R41" ca="1" si="4">SUM(D35:D40)</f>
        <v>0</v>
      </c>
      <c r="E41" s="747">
        <f t="shared" ca="1" si="4"/>
        <v>27661.146282802314</v>
      </c>
      <c r="F41" s="747">
        <f t="shared" si="4"/>
        <v>1495.9089711926958</v>
      </c>
      <c r="G41" s="747">
        <f t="shared" ca="1" si="4"/>
        <v>5993.5652140175562</v>
      </c>
      <c r="H41" s="747">
        <f t="shared" si="4"/>
        <v>0</v>
      </c>
      <c r="I41" s="747">
        <f t="shared" si="4"/>
        <v>0</v>
      </c>
      <c r="J41" s="747">
        <f t="shared" si="4"/>
        <v>0</v>
      </c>
      <c r="K41" s="747">
        <f t="shared" si="4"/>
        <v>1057.9182160217758</v>
      </c>
      <c r="L41" s="747">
        <f t="shared" si="4"/>
        <v>0</v>
      </c>
      <c r="M41" s="747">
        <f t="shared" ca="1" si="4"/>
        <v>0</v>
      </c>
      <c r="N41" s="747">
        <f t="shared" si="4"/>
        <v>0</v>
      </c>
      <c r="O41" s="747">
        <f t="shared" ca="1" si="4"/>
        <v>0</v>
      </c>
      <c r="P41" s="747">
        <f t="shared" si="4"/>
        <v>0</v>
      </c>
      <c r="Q41" s="748">
        <f t="shared" si="4"/>
        <v>0</v>
      </c>
      <c r="R41" s="749">
        <f t="shared" ca="1" si="4"/>
        <v>45997.886154771681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337.4863715960127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337.4863715960127</v>
      </c>
    </row>
    <row r="45" spans="1:18" ht="15" thickBot="1">
      <c r="A45" s="876" t="s">
        <v>308</v>
      </c>
      <c r="B45" s="886"/>
      <c r="C45" s="711">
        <f ca="1">transport!B18</f>
        <v>0.12128774635872358</v>
      </c>
      <c r="D45" s="711">
        <f>transport!C18</f>
        <v>0</v>
      </c>
      <c r="E45" s="711">
        <f>transport!D18</f>
        <v>0.6222100770370006</v>
      </c>
      <c r="F45" s="711">
        <f>transport!E18</f>
        <v>69.674874073638776</v>
      </c>
      <c r="G45" s="711">
        <f>transport!F18</f>
        <v>0</v>
      </c>
      <c r="H45" s="711">
        <f>transport!G18</f>
        <v>13615.000414760307</v>
      </c>
      <c r="I45" s="711">
        <f>transport!H18</f>
        <v>2528.3347110657005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16213.753497723043</v>
      </c>
    </row>
    <row r="46" spans="1:18" ht="15.75" thickBot="1">
      <c r="A46" s="874" t="s">
        <v>231</v>
      </c>
      <c r="B46" s="887"/>
      <c r="C46" s="747">
        <f t="shared" ref="C46:R46" ca="1" si="5">SUM(C43:C45)</f>
        <v>0.12128774635872358</v>
      </c>
      <c r="D46" s="747">
        <f t="shared" ca="1" si="5"/>
        <v>0</v>
      </c>
      <c r="E46" s="747">
        <f t="shared" si="5"/>
        <v>0.6222100770370006</v>
      </c>
      <c r="F46" s="747">
        <f t="shared" si="5"/>
        <v>69.674874073638776</v>
      </c>
      <c r="G46" s="747">
        <f t="shared" si="5"/>
        <v>0</v>
      </c>
      <c r="H46" s="747">
        <f t="shared" si="5"/>
        <v>13952.486786356319</v>
      </c>
      <c r="I46" s="747">
        <f t="shared" si="5"/>
        <v>2528.3347110657005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16551.239869319055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733.6136436308683</v>
      </c>
      <c r="D48" s="702">
        <f ca="1">+landbouw!C12</f>
        <v>6509.6621848739505</v>
      </c>
      <c r="E48" s="702">
        <f>+landbouw!D12</f>
        <v>0</v>
      </c>
      <c r="F48" s="702">
        <f>+landbouw!E12</f>
        <v>8.0632884408998304</v>
      </c>
      <c r="G48" s="702">
        <f>+landbouw!F12</f>
        <v>4651.5475708528011</v>
      </c>
      <c r="H48" s="702">
        <f>+landbouw!G12</f>
        <v>0</v>
      </c>
      <c r="I48" s="702">
        <f>+landbouw!H12</f>
        <v>0</v>
      </c>
      <c r="J48" s="702">
        <f>+landbouw!I12</f>
        <v>0</v>
      </c>
      <c r="K48" s="702">
        <f>+landbouw!J12</f>
        <v>107.23734081489114</v>
      </c>
      <c r="L48" s="702">
        <f>+landbouw!K12</f>
        <v>0</v>
      </c>
      <c r="M48" s="702">
        <f>+landbouw!L12</f>
        <v>0</v>
      </c>
      <c r="N48" s="702">
        <f>+landbouw!M12</f>
        <v>0</v>
      </c>
      <c r="O48" s="702">
        <f>+landbouw!N12</f>
        <v>0</v>
      </c>
      <c r="P48" s="702">
        <f>+landbouw!O12</f>
        <v>0</v>
      </c>
      <c r="Q48" s="703">
        <f>+landbouw!P12</f>
        <v>0</v>
      </c>
      <c r="R48" s="745">
        <f ca="1">SUM(C48:Q48)</f>
        <v>12010.124028613411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10523.082402114562</v>
      </c>
      <c r="D53" s="757">
        <f t="shared" ref="D53:Q53" ca="1" si="6">D41+D46+D48</f>
        <v>6509.6621848739505</v>
      </c>
      <c r="E53" s="757">
        <f t="shared" ca="1" si="6"/>
        <v>27661.76849287935</v>
      </c>
      <c r="F53" s="757">
        <f t="shared" si="6"/>
        <v>1573.6471337072346</v>
      </c>
      <c r="G53" s="757">
        <f t="shared" ca="1" si="6"/>
        <v>10645.112784870358</v>
      </c>
      <c r="H53" s="757">
        <f t="shared" si="6"/>
        <v>13952.486786356319</v>
      </c>
      <c r="I53" s="757">
        <f t="shared" si="6"/>
        <v>2528.3347110657005</v>
      </c>
      <c r="J53" s="757">
        <f t="shared" si="6"/>
        <v>0</v>
      </c>
      <c r="K53" s="757">
        <f t="shared" si="6"/>
        <v>1165.1555568366671</v>
      </c>
      <c r="L53" s="757">
        <f t="shared" si="6"/>
        <v>0</v>
      </c>
      <c r="M53" s="757">
        <f t="shared" ca="1" si="6"/>
        <v>0</v>
      </c>
      <c r="N53" s="757">
        <f t="shared" si="6"/>
        <v>0</v>
      </c>
      <c r="O53" s="757">
        <f t="shared" ca="1" si="6"/>
        <v>0</v>
      </c>
      <c r="P53" s="757">
        <f>P41+P46+P48</f>
        <v>0</v>
      </c>
      <c r="Q53" s="758">
        <f t="shared" si="6"/>
        <v>0</v>
      </c>
      <c r="R53" s="759">
        <f ca="1">R41+R46+R48</f>
        <v>74559.250052704141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0.21628164940354744</v>
      </c>
      <c r="D55" s="823">
        <f t="shared" ca="1" si="7"/>
        <v>0.23764705882352943</v>
      </c>
      <c r="E55" s="823">
        <f t="shared" ca="1" si="7"/>
        <v>0.20200000000000001</v>
      </c>
      <c r="F55" s="823">
        <f t="shared" si="7"/>
        <v>0.22700000000000004</v>
      </c>
      <c r="G55" s="823">
        <f t="shared" ca="1" si="7"/>
        <v>0.26700000000000002</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2483.1138861715217</v>
      </c>
      <c r="C66" s="779">
        <f>'lokale energieproductie'!B6</f>
        <v>2483.1138861715217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19174.5</v>
      </c>
      <c r="C67" s="778">
        <f>B67*IFERROR(SUM(J67:L67)/SUM(D67:M67),0)</f>
        <v>0</v>
      </c>
      <c r="D67" s="810">
        <f>'lokale energieproductie'!C7</f>
        <v>22558.23529411765</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4556.7635294117654</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21657.613886171523</v>
      </c>
      <c r="C69" s="787">
        <f>SUM(C64:C68)</f>
        <v>2483.1138861715217</v>
      </c>
      <c r="D69" s="788">
        <f t="shared" ref="D69:M69" si="8">SUM(D67:D68)</f>
        <v>22558.23529411765</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4556.7635294117654</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27392.142857142859</v>
      </c>
      <c r="C78" s="801">
        <f>B78*IFERROR(SUM(I78:L78)/SUM(D78:M78),0)</f>
        <v>0</v>
      </c>
      <c r="D78" s="816">
        <f>'lokale energieproductie'!C16</f>
        <v>32226.050420168071</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6509.6621848739505</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27392.142857142859</v>
      </c>
      <c r="C81" s="787">
        <f>SUM(C78:C80)</f>
        <v>0</v>
      </c>
      <c r="D81" s="787">
        <f t="shared" ref="D81:P81" si="9">SUM(D78:D80)</f>
        <v>32226.050420168071</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6509.6621848739505</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24253.775955309571</v>
      </c>
      <c r="C4" s="461">
        <f>huishoudens!C8</f>
        <v>0</v>
      </c>
      <c r="D4" s="461">
        <f>huishoudens!D8</f>
        <v>50489.942469720867</v>
      </c>
      <c r="E4" s="461">
        <f>huishoudens!E8</f>
        <v>6302.016775964621</v>
      </c>
      <c r="F4" s="461">
        <f>huishoudens!F8</f>
        <v>17858.609310049997</v>
      </c>
      <c r="G4" s="461">
        <f>huishoudens!G8</f>
        <v>0</v>
      </c>
      <c r="H4" s="461">
        <f>huishoudens!H8</f>
        <v>0</v>
      </c>
      <c r="I4" s="461">
        <f>huishoudens!I8</f>
        <v>0</v>
      </c>
      <c r="J4" s="461">
        <f>huishoudens!J8</f>
        <v>2948.9257711548853</v>
      </c>
      <c r="K4" s="461">
        <f>huishoudens!K8</f>
        <v>0</v>
      </c>
      <c r="L4" s="461">
        <f>huishoudens!L8</f>
        <v>0</v>
      </c>
      <c r="M4" s="461">
        <f>huishoudens!M8</f>
        <v>0</v>
      </c>
      <c r="N4" s="461">
        <f>huishoudens!N8</f>
        <v>18115.493345740852</v>
      </c>
      <c r="O4" s="461">
        <f>huishoudens!O8</f>
        <v>60.970000000000006</v>
      </c>
      <c r="P4" s="462">
        <f>huishoudens!P8</f>
        <v>57.2</v>
      </c>
      <c r="Q4" s="463">
        <f>SUM(B4:P4)</f>
        <v>120086.93362794079</v>
      </c>
    </row>
    <row r="5" spans="1:17">
      <c r="A5" s="460" t="s">
        <v>156</v>
      </c>
      <c r="B5" s="461">
        <f ca="1">tertiair!B16</f>
        <v>10350.905711684311</v>
      </c>
      <c r="C5" s="461">
        <f ca="1">tertiair!C16</f>
        <v>0</v>
      </c>
      <c r="D5" s="461">
        <f ca="1">tertiair!D16</f>
        <v>12780.563371535809</v>
      </c>
      <c r="E5" s="461">
        <f>tertiair!E16</f>
        <v>185.79034469054127</v>
      </c>
      <c r="F5" s="461">
        <f ca="1">tertiair!F16</f>
        <v>1921.2135319836445</v>
      </c>
      <c r="G5" s="461">
        <f>tertiair!G16</f>
        <v>0</v>
      </c>
      <c r="H5" s="461">
        <f>tertiair!H16</f>
        <v>0</v>
      </c>
      <c r="I5" s="461">
        <f>tertiair!I16</f>
        <v>0</v>
      </c>
      <c r="J5" s="461">
        <f>tertiair!J16</f>
        <v>0</v>
      </c>
      <c r="K5" s="461">
        <f>tertiair!K16</f>
        <v>0</v>
      </c>
      <c r="L5" s="461">
        <f ca="1">tertiair!L16</f>
        <v>0</v>
      </c>
      <c r="M5" s="461">
        <f>tertiair!M16</f>
        <v>0</v>
      </c>
      <c r="N5" s="461">
        <f ca="1">tertiair!N16</f>
        <v>380.20726773250288</v>
      </c>
      <c r="O5" s="461">
        <f>tertiair!O16</f>
        <v>1.5633333333333335</v>
      </c>
      <c r="P5" s="462">
        <f>tertiair!P16</f>
        <v>19.066666666666666</v>
      </c>
      <c r="Q5" s="460">
        <f t="shared" ref="Q5:Q13" ca="1" si="0">SUM(B5:P5)</f>
        <v>25639.310227626804</v>
      </c>
    </row>
    <row r="6" spans="1:17">
      <c r="A6" s="460" t="s">
        <v>195</v>
      </c>
      <c r="B6" s="461">
        <f>'openbare verlichting'!B8</f>
        <v>1008.015</v>
      </c>
      <c r="C6" s="461"/>
      <c r="D6" s="461"/>
      <c r="E6" s="461"/>
      <c r="F6" s="461"/>
      <c r="G6" s="461"/>
      <c r="H6" s="461"/>
      <c r="I6" s="461"/>
      <c r="J6" s="461"/>
      <c r="K6" s="461"/>
      <c r="L6" s="461"/>
      <c r="M6" s="461"/>
      <c r="N6" s="461"/>
      <c r="O6" s="461"/>
      <c r="P6" s="462"/>
      <c r="Q6" s="460">
        <f t="shared" si="0"/>
        <v>1008.015</v>
      </c>
    </row>
    <row r="7" spans="1:17">
      <c r="A7" s="460" t="s">
        <v>112</v>
      </c>
      <c r="B7" s="461">
        <f>landbouw!B8</f>
        <v>3391.9366051350057</v>
      </c>
      <c r="C7" s="461">
        <f>landbouw!C8</f>
        <v>27392.142857142859</v>
      </c>
      <c r="D7" s="461">
        <f>landbouw!D8</f>
        <v>0</v>
      </c>
      <c r="E7" s="461">
        <f>landbouw!E8</f>
        <v>35.52109445330322</v>
      </c>
      <c r="F7" s="461">
        <f>landbouw!F8</f>
        <v>17421.52648259476</v>
      </c>
      <c r="G7" s="461">
        <f>landbouw!G8</f>
        <v>0</v>
      </c>
      <c r="H7" s="461">
        <f>landbouw!H8</f>
        <v>0</v>
      </c>
      <c r="I7" s="461">
        <f>landbouw!I8</f>
        <v>0</v>
      </c>
      <c r="J7" s="461">
        <f>landbouw!J8</f>
        <v>302.93034128500324</v>
      </c>
      <c r="K7" s="461">
        <f>landbouw!K8</f>
        <v>0</v>
      </c>
      <c r="L7" s="461">
        <f>landbouw!L8</f>
        <v>0</v>
      </c>
      <c r="M7" s="461">
        <f>landbouw!M8</f>
        <v>0</v>
      </c>
      <c r="N7" s="461">
        <f>landbouw!N8</f>
        <v>0</v>
      </c>
      <c r="O7" s="461">
        <f>landbouw!O8</f>
        <v>0</v>
      </c>
      <c r="P7" s="462">
        <f>landbouw!P8</f>
        <v>0</v>
      </c>
      <c r="Q7" s="460">
        <f t="shared" si="0"/>
        <v>48544.057380610931</v>
      </c>
    </row>
    <row r="8" spans="1:17">
      <c r="A8" s="460" t="s">
        <v>656</v>
      </c>
      <c r="B8" s="461">
        <f>industrie!B18</f>
        <v>9649.3378039563377</v>
      </c>
      <c r="C8" s="461">
        <f>industrie!C18</f>
        <v>0</v>
      </c>
      <c r="D8" s="461">
        <f>industrie!D18</f>
        <v>73665.861895388429</v>
      </c>
      <c r="E8" s="461">
        <f>industrie!E18</f>
        <v>102.10024142719898</v>
      </c>
      <c r="F8" s="461">
        <f>industrie!F18</f>
        <v>2667.986948294285</v>
      </c>
      <c r="G8" s="461">
        <f>industrie!G18</f>
        <v>0</v>
      </c>
      <c r="H8" s="461">
        <f>industrie!H18</f>
        <v>0</v>
      </c>
      <c r="I8" s="461">
        <f>industrie!I18</f>
        <v>0</v>
      </c>
      <c r="J8" s="461">
        <f>industrie!J18</f>
        <v>39.543765629792645</v>
      </c>
      <c r="K8" s="461">
        <f>industrie!K18</f>
        <v>0</v>
      </c>
      <c r="L8" s="461">
        <f>industrie!L18</f>
        <v>0</v>
      </c>
      <c r="M8" s="461">
        <f>industrie!M18</f>
        <v>0</v>
      </c>
      <c r="N8" s="461">
        <f>industrie!N18</f>
        <v>244.51356942019845</v>
      </c>
      <c r="O8" s="461">
        <f>industrie!O18</f>
        <v>0</v>
      </c>
      <c r="P8" s="462">
        <f>industrie!P18</f>
        <v>0</v>
      </c>
      <c r="Q8" s="460">
        <f t="shared" si="0"/>
        <v>86369.344224116241</v>
      </c>
    </row>
    <row r="9" spans="1:17" s="466" customFormat="1">
      <c r="A9" s="464" t="s">
        <v>574</v>
      </c>
      <c r="B9" s="465">
        <f>transport!B14</f>
        <v>0.56078611705249093</v>
      </c>
      <c r="C9" s="465">
        <f>transport!C14</f>
        <v>0</v>
      </c>
      <c r="D9" s="465">
        <f>transport!D14</f>
        <v>3.0802479061237649</v>
      </c>
      <c r="E9" s="465">
        <f>transport!E14</f>
        <v>306.93777124951004</v>
      </c>
      <c r="F9" s="465">
        <f>transport!F14</f>
        <v>0</v>
      </c>
      <c r="G9" s="465">
        <f>transport!G14</f>
        <v>50992.510916705265</v>
      </c>
      <c r="H9" s="465">
        <f>transport!H14</f>
        <v>10153.954662914461</v>
      </c>
      <c r="I9" s="465">
        <f>transport!I14</f>
        <v>0</v>
      </c>
      <c r="J9" s="465">
        <f>transport!J14</f>
        <v>0</v>
      </c>
      <c r="K9" s="465">
        <f>transport!K14</f>
        <v>0</v>
      </c>
      <c r="L9" s="465">
        <f>transport!L14</f>
        <v>0</v>
      </c>
      <c r="M9" s="465">
        <f>transport!M14</f>
        <v>2671.7476390966513</v>
      </c>
      <c r="N9" s="465">
        <f>transport!N14</f>
        <v>0</v>
      </c>
      <c r="O9" s="465">
        <f>transport!O14</f>
        <v>0</v>
      </c>
      <c r="P9" s="465">
        <f>transport!P14</f>
        <v>0</v>
      </c>
      <c r="Q9" s="464">
        <f>SUM(B9:P9)</f>
        <v>64128.792023989066</v>
      </c>
    </row>
    <row r="10" spans="1:17">
      <c r="A10" s="460" t="s">
        <v>564</v>
      </c>
      <c r="B10" s="461">
        <f>transport!B54</f>
        <v>0</v>
      </c>
      <c r="C10" s="461">
        <f>transport!C54</f>
        <v>0</v>
      </c>
      <c r="D10" s="461">
        <f>transport!D54</f>
        <v>0</v>
      </c>
      <c r="E10" s="461">
        <f>transport!E54</f>
        <v>0</v>
      </c>
      <c r="F10" s="461">
        <f>transport!F54</f>
        <v>0</v>
      </c>
      <c r="G10" s="461">
        <f>transport!G54</f>
        <v>1263.9939011086617</v>
      </c>
      <c r="H10" s="461">
        <f>transport!H54</f>
        <v>0</v>
      </c>
      <c r="I10" s="461">
        <f>transport!I54</f>
        <v>0</v>
      </c>
      <c r="J10" s="461">
        <f>transport!J54</f>
        <v>0</v>
      </c>
      <c r="K10" s="461">
        <f>transport!K54</f>
        <v>0</v>
      </c>
      <c r="L10" s="461">
        <f>transport!L54</f>
        <v>0</v>
      </c>
      <c r="M10" s="461">
        <f>transport!M54</f>
        <v>53.878568612378309</v>
      </c>
      <c r="N10" s="461">
        <f>transport!N54</f>
        <v>0</v>
      </c>
      <c r="O10" s="461">
        <f>transport!O54</f>
        <v>0</v>
      </c>
      <c r="P10" s="462">
        <f>transport!P54</f>
        <v>0</v>
      </c>
      <c r="Q10" s="460">
        <f t="shared" si="0"/>
        <v>1317.87246972104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48654.531862202282</v>
      </c>
      <c r="C14" s="471">
        <f t="shared" ref="C14:Q14" ca="1" si="1">SUM(C4:C13)</f>
        <v>27392.142857142859</v>
      </c>
      <c r="D14" s="471">
        <f t="shared" ca="1" si="1"/>
        <v>136939.44798455123</v>
      </c>
      <c r="E14" s="471">
        <f t="shared" si="1"/>
        <v>6932.3662277851736</v>
      </c>
      <c r="F14" s="471">
        <f t="shared" ca="1" si="1"/>
        <v>39869.336272922694</v>
      </c>
      <c r="G14" s="471">
        <f t="shared" si="1"/>
        <v>52256.504817813926</v>
      </c>
      <c r="H14" s="471">
        <f t="shared" si="1"/>
        <v>10153.954662914461</v>
      </c>
      <c r="I14" s="471">
        <f t="shared" si="1"/>
        <v>0</v>
      </c>
      <c r="J14" s="471">
        <f t="shared" si="1"/>
        <v>3291.3998780696811</v>
      </c>
      <c r="K14" s="471">
        <f t="shared" si="1"/>
        <v>0</v>
      </c>
      <c r="L14" s="471">
        <f t="shared" ca="1" si="1"/>
        <v>0</v>
      </c>
      <c r="M14" s="471">
        <f t="shared" si="1"/>
        <v>2725.6262077090296</v>
      </c>
      <c r="N14" s="471">
        <f t="shared" ca="1" si="1"/>
        <v>18740.214182893553</v>
      </c>
      <c r="O14" s="471">
        <f t="shared" si="1"/>
        <v>62.533333333333339</v>
      </c>
      <c r="P14" s="472">
        <f t="shared" si="1"/>
        <v>76.266666666666666</v>
      </c>
      <c r="Q14" s="472">
        <f t="shared" ca="1" si="1"/>
        <v>347094.3249540049</v>
      </c>
    </row>
    <row r="16" spans="1:17">
      <c r="A16" s="474" t="s">
        <v>569</v>
      </c>
      <c r="B16" s="828">
        <f ca="1">huishoudens!B10</f>
        <v>0.21628164940354747</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5245.6466678784545</v>
      </c>
      <c r="C21" s="461">
        <f t="shared" ref="C21:C30" ca="1" si="3">C4*$C$16</f>
        <v>0</v>
      </c>
      <c r="D21" s="461">
        <f t="shared" ref="D21:D30" si="4">D4*$D$16</f>
        <v>10198.968378883616</v>
      </c>
      <c r="E21" s="461">
        <f t="shared" ref="E21:E30" si="5">E4*$E$16</f>
        <v>1430.5578081439689</v>
      </c>
      <c r="F21" s="461">
        <f t="shared" ref="F21:F30" si="6">F4*$F$16</f>
        <v>4768.2486857833492</v>
      </c>
      <c r="G21" s="461">
        <f t="shared" ref="G21:G30" si="7">G4*$G$16</f>
        <v>0</v>
      </c>
      <c r="H21" s="461">
        <f t="shared" ref="H21:H30" si="8">H4*$H$16</f>
        <v>0</v>
      </c>
      <c r="I21" s="461">
        <f t="shared" ref="I21:I30" si="9">I4*$I$16</f>
        <v>0</v>
      </c>
      <c r="J21" s="461">
        <f t="shared" ref="J21:J30" si="10">J4*$J$16</f>
        <v>1043.9197229888293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22687.34126367822</v>
      </c>
    </row>
    <row r="22" spans="1:17">
      <c r="A22" s="460" t="s">
        <v>156</v>
      </c>
      <c r="B22" s="461">
        <f t="shared" ca="1" si="2"/>
        <v>2238.7109601436832</v>
      </c>
      <c r="C22" s="461">
        <f t="shared" ca="1" si="3"/>
        <v>0</v>
      </c>
      <c r="D22" s="461">
        <f t="shared" ca="1" si="4"/>
        <v>2581.6738010502336</v>
      </c>
      <c r="E22" s="461">
        <f t="shared" si="5"/>
        <v>42.174408244752868</v>
      </c>
      <c r="F22" s="461">
        <f t="shared" ca="1" si="6"/>
        <v>512.96401303963307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5375.5231824783023</v>
      </c>
    </row>
    <row r="23" spans="1:17">
      <c r="A23" s="460" t="s">
        <v>195</v>
      </c>
      <c r="B23" s="461">
        <f t="shared" ca="1" si="2"/>
        <v>218.01514682351689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218.01514682351689</v>
      </c>
    </row>
    <row r="24" spans="1:17">
      <c r="A24" s="460" t="s">
        <v>112</v>
      </c>
      <c r="B24" s="461">
        <f t="shared" ca="1" si="2"/>
        <v>733.6136436308683</v>
      </c>
      <c r="C24" s="461">
        <f t="shared" ca="1" si="3"/>
        <v>6509.6621848739505</v>
      </c>
      <c r="D24" s="461">
        <f t="shared" si="4"/>
        <v>0</v>
      </c>
      <c r="E24" s="461">
        <f t="shared" si="5"/>
        <v>8.0632884408998304</v>
      </c>
      <c r="F24" s="461">
        <f t="shared" si="6"/>
        <v>4651.5475708528011</v>
      </c>
      <c r="G24" s="461">
        <f t="shared" si="7"/>
        <v>0</v>
      </c>
      <c r="H24" s="461">
        <f t="shared" si="8"/>
        <v>0</v>
      </c>
      <c r="I24" s="461">
        <f t="shared" si="9"/>
        <v>0</v>
      </c>
      <c r="J24" s="461">
        <f t="shared" si="10"/>
        <v>107.23734081489114</v>
      </c>
      <c r="K24" s="461">
        <f t="shared" si="11"/>
        <v>0</v>
      </c>
      <c r="L24" s="461">
        <f t="shared" si="12"/>
        <v>0</v>
      </c>
      <c r="M24" s="461">
        <f t="shared" si="13"/>
        <v>0</v>
      </c>
      <c r="N24" s="461">
        <f t="shared" si="14"/>
        <v>0</v>
      </c>
      <c r="O24" s="461">
        <f t="shared" si="15"/>
        <v>0</v>
      </c>
      <c r="P24" s="462">
        <f t="shared" si="16"/>
        <v>0</v>
      </c>
      <c r="Q24" s="460">
        <f t="shared" ca="1" si="17"/>
        <v>12010.124028613411</v>
      </c>
    </row>
    <row r="25" spans="1:17">
      <c r="A25" s="460" t="s">
        <v>656</v>
      </c>
      <c r="B25" s="461">
        <f t="shared" ca="1" si="2"/>
        <v>2086.9746958916812</v>
      </c>
      <c r="C25" s="461">
        <f t="shared" ca="1" si="3"/>
        <v>0</v>
      </c>
      <c r="D25" s="461">
        <f t="shared" si="4"/>
        <v>14880.504102868463</v>
      </c>
      <c r="E25" s="461">
        <f t="shared" si="5"/>
        <v>23.17675480397417</v>
      </c>
      <c r="F25" s="461">
        <f t="shared" si="6"/>
        <v>712.35251519457415</v>
      </c>
      <c r="G25" s="461">
        <f t="shared" si="7"/>
        <v>0</v>
      </c>
      <c r="H25" s="461">
        <f t="shared" si="8"/>
        <v>0</v>
      </c>
      <c r="I25" s="461">
        <f t="shared" si="9"/>
        <v>0</v>
      </c>
      <c r="J25" s="461">
        <f t="shared" si="10"/>
        <v>13.998493032946596</v>
      </c>
      <c r="K25" s="461">
        <f t="shared" si="11"/>
        <v>0</v>
      </c>
      <c r="L25" s="461">
        <f t="shared" si="12"/>
        <v>0</v>
      </c>
      <c r="M25" s="461">
        <f t="shared" si="13"/>
        <v>0</v>
      </c>
      <c r="N25" s="461">
        <f t="shared" si="14"/>
        <v>0</v>
      </c>
      <c r="O25" s="461">
        <f t="shared" si="15"/>
        <v>0</v>
      </c>
      <c r="P25" s="462">
        <f t="shared" si="16"/>
        <v>0</v>
      </c>
      <c r="Q25" s="460">
        <f t="shared" ca="1" si="17"/>
        <v>17717.006561791644</v>
      </c>
    </row>
    <row r="26" spans="1:17" s="466" customFormat="1">
      <c r="A26" s="464" t="s">
        <v>574</v>
      </c>
      <c r="B26" s="822">
        <f t="shared" ca="1" si="2"/>
        <v>0.12128774635872358</v>
      </c>
      <c r="C26" s="465">
        <f t="shared" ca="1" si="3"/>
        <v>0</v>
      </c>
      <c r="D26" s="465">
        <f t="shared" si="4"/>
        <v>0.6222100770370006</v>
      </c>
      <c r="E26" s="465">
        <f t="shared" si="5"/>
        <v>69.674874073638776</v>
      </c>
      <c r="F26" s="465">
        <f t="shared" si="6"/>
        <v>0</v>
      </c>
      <c r="G26" s="465">
        <f t="shared" si="7"/>
        <v>13615.000414760307</v>
      </c>
      <c r="H26" s="465">
        <f t="shared" si="8"/>
        <v>2528.3347110657005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16213.753497723043</v>
      </c>
    </row>
    <row r="27" spans="1:17">
      <c r="A27" s="460" t="s">
        <v>564</v>
      </c>
      <c r="B27" s="461">
        <f t="shared" ca="1" si="2"/>
        <v>0</v>
      </c>
      <c r="C27" s="461">
        <f t="shared" ca="1" si="3"/>
        <v>0</v>
      </c>
      <c r="D27" s="461">
        <f t="shared" si="4"/>
        <v>0</v>
      </c>
      <c r="E27" s="461">
        <f t="shared" si="5"/>
        <v>0</v>
      </c>
      <c r="F27" s="461">
        <f t="shared" si="6"/>
        <v>0</v>
      </c>
      <c r="G27" s="461">
        <f t="shared" si="7"/>
        <v>337.4863715960127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337.4863715960127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10523.082402114564</v>
      </c>
      <c r="C31" s="471">
        <f t="shared" ca="1" si="18"/>
        <v>6509.6621848739505</v>
      </c>
      <c r="D31" s="471">
        <f t="shared" ca="1" si="18"/>
        <v>27661.76849287935</v>
      </c>
      <c r="E31" s="471">
        <f t="shared" si="18"/>
        <v>1573.6471337072346</v>
      </c>
      <c r="F31" s="471">
        <f t="shared" ca="1" si="18"/>
        <v>10645.112784870356</v>
      </c>
      <c r="G31" s="471">
        <f t="shared" si="18"/>
        <v>13952.486786356319</v>
      </c>
      <c r="H31" s="471">
        <f t="shared" si="18"/>
        <v>2528.3347110657005</v>
      </c>
      <c r="I31" s="471">
        <f t="shared" si="18"/>
        <v>0</v>
      </c>
      <c r="J31" s="471">
        <f t="shared" si="18"/>
        <v>1165.1555568366671</v>
      </c>
      <c r="K31" s="471">
        <f t="shared" si="18"/>
        <v>0</v>
      </c>
      <c r="L31" s="471">
        <f t="shared" ca="1" si="18"/>
        <v>0</v>
      </c>
      <c r="M31" s="471">
        <f t="shared" si="18"/>
        <v>0</v>
      </c>
      <c r="N31" s="471">
        <f t="shared" ca="1" si="18"/>
        <v>0</v>
      </c>
      <c r="O31" s="471">
        <f t="shared" si="18"/>
        <v>0</v>
      </c>
      <c r="P31" s="472">
        <f t="shared" si="18"/>
        <v>0</v>
      </c>
      <c r="Q31" s="472">
        <f t="shared" ca="1" si="18"/>
        <v>74559.250052704141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0.21628164940354747</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0.21628164940354747</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0.21628164940354747</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35006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5667</v>
      </c>
      <c r="C9" s="336">
        <v>5928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3068</v>
      </c>
    </row>
    <row r="15" spans="1:6">
      <c r="A15" s="1194" t="s">
        <v>185</v>
      </c>
      <c r="B15" s="333">
        <v>992</v>
      </c>
    </row>
    <row r="16" spans="1:6">
      <c r="A16" s="1194" t="s">
        <v>6</v>
      </c>
      <c r="B16" s="333">
        <v>1579</v>
      </c>
    </row>
    <row r="17" spans="1:6">
      <c r="A17" s="1194" t="s">
        <v>7</v>
      </c>
      <c r="B17" s="333">
        <v>911</v>
      </c>
    </row>
    <row r="18" spans="1:6">
      <c r="A18" s="1194" t="s">
        <v>8</v>
      </c>
      <c r="B18" s="333">
        <v>1519</v>
      </c>
    </row>
    <row r="19" spans="1:6">
      <c r="A19" s="1194" t="s">
        <v>9</v>
      </c>
      <c r="B19" s="333">
        <v>1468</v>
      </c>
    </row>
    <row r="20" spans="1:6">
      <c r="A20" s="1194" t="s">
        <v>10</v>
      </c>
      <c r="B20" s="333">
        <v>1101</v>
      </c>
    </row>
    <row r="21" spans="1:6">
      <c r="A21" s="1194" t="s">
        <v>11</v>
      </c>
      <c r="B21" s="333">
        <v>12939</v>
      </c>
    </row>
    <row r="22" spans="1:6">
      <c r="A22" s="1194" t="s">
        <v>12</v>
      </c>
      <c r="B22" s="333">
        <v>54434</v>
      </c>
    </row>
    <row r="23" spans="1:6">
      <c r="A23" s="1194" t="s">
        <v>13</v>
      </c>
      <c r="B23" s="333">
        <v>700</v>
      </c>
    </row>
    <row r="24" spans="1:6">
      <c r="A24" s="1194" t="s">
        <v>14</v>
      </c>
      <c r="B24" s="333">
        <v>38</v>
      </c>
    </row>
    <row r="25" spans="1:6">
      <c r="A25" s="1194" t="s">
        <v>15</v>
      </c>
      <c r="B25" s="333">
        <v>3804</v>
      </c>
    </row>
    <row r="26" spans="1:6">
      <c r="A26" s="1194" t="s">
        <v>16</v>
      </c>
      <c r="B26" s="333">
        <v>423</v>
      </c>
    </row>
    <row r="27" spans="1:6">
      <c r="A27" s="1194" t="s">
        <v>17</v>
      </c>
      <c r="B27" s="333">
        <v>8</v>
      </c>
    </row>
    <row r="28" spans="1:6">
      <c r="A28" s="1194" t="s">
        <v>18</v>
      </c>
      <c r="B28" s="333">
        <v>177763</v>
      </c>
    </row>
    <row r="29" spans="1:6">
      <c r="A29" s="1194" t="s">
        <v>888</v>
      </c>
      <c r="B29" s="333">
        <v>149</v>
      </c>
    </row>
    <row r="30" spans="1:6">
      <c r="A30" s="1190" t="s">
        <v>889</v>
      </c>
      <c r="B30" s="1190">
        <v>42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6</v>
      </c>
      <c r="F36" s="333">
        <v>7108.661578145</v>
      </c>
    </row>
    <row r="37" spans="1:6">
      <c r="A37" s="1194" t="s">
        <v>25</v>
      </c>
      <c r="B37" s="1194" t="s">
        <v>28</v>
      </c>
      <c r="C37" s="333">
        <v>0</v>
      </c>
      <c r="D37" s="333">
        <v>0</v>
      </c>
      <c r="E37" s="333">
        <v>0</v>
      </c>
      <c r="F37" s="333">
        <v>0</v>
      </c>
    </row>
    <row r="38" spans="1:6">
      <c r="A38" s="1194" t="s">
        <v>25</v>
      </c>
      <c r="B38" s="1194" t="s">
        <v>29</v>
      </c>
      <c r="C38" s="333">
        <v>1</v>
      </c>
      <c r="D38" s="333">
        <v>67289717.875799999</v>
      </c>
      <c r="E38" s="333">
        <v>3</v>
      </c>
      <c r="F38" s="333">
        <v>155263.660855614</v>
      </c>
    </row>
    <row r="39" spans="1:6">
      <c r="A39" s="1194" t="s">
        <v>30</v>
      </c>
      <c r="B39" s="1194" t="s">
        <v>31</v>
      </c>
      <c r="C39" s="333">
        <v>3459</v>
      </c>
      <c r="D39" s="333">
        <v>55975545.975300297</v>
      </c>
      <c r="E39" s="333">
        <v>5126</v>
      </c>
      <c r="F39" s="333">
        <v>22425404.889100902</v>
      </c>
    </row>
    <row r="40" spans="1:6">
      <c r="A40" s="1194" t="s">
        <v>30</v>
      </c>
      <c r="B40" s="1194" t="s">
        <v>29</v>
      </c>
      <c r="C40" s="333">
        <v>0</v>
      </c>
      <c r="D40" s="333">
        <v>0</v>
      </c>
      <c r="E40" s="333">
        <v>0</v>
      </c>
      <c r="F40" s="333">
        <v>0</v>
      </c>
    </row>
    <row r="41" spans="1:6">
      <c r="A41" s="1194" t="s">
        <v>32</v>
      </c>
      <c r="B41" s="1194" t="s">
        <v>33</v>
      </c>
      <c r="C41" s="333">
        <v>58</v>
      </c>
      <c r="D41" s="333">
        <v>1440125.3710883399</v>
      </c>
      <c r="E41" s="333">
        <v>128</v>
      </c>
      <c r="F41" s="333">
        <v>1757303.2304591001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4</v>
      </c>
      <c r="F44" s="333">
        <v>295267.25528410199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4</v>
      </c>
      <c r="D47" s="333">
        <v>179883.409152051</v>
      </c>
      <c r="E47" s="333">
        <v>3</v>
      </c>
      <c r="F47" s="333">
        <v>59354.8382516524</v>
      </c>
    </row>
    <row r="48" spans="1:6">
      <c r="A48" s="1194" t="s">
        <v>32</v>
      </c>
      <c r="B48" s="1194" t="s">
        <v>29</v>
      </c>
      <c r="C48" s="333">
        <v>25</v>
      </c>
      <c r="D48" s="333">
        <v>15291890.690710099</v>
      </c>
      <c r="E48" s="333">
        <v>30</v>
      </c>
      <c r="F48" s="333">
        <v>860239.82513608295</v>
      </c>
    </row>
    <row r="49" spans="1:6">
      <c r="A49" s="1194" t="s">
        <v>32</v>
      </c>
      <c r="B49" s="1194" t="s">
        <v>40</v>
      </c>
      <c r="C49" s="333">
        <v>0</v>
      </c>
      <c r="D49" s="333">
        <v>0</v>
      </c>
      <c r="E49" s="333">
        <v>0</v>
      </c>
      <c r="F49" s="333">
        <v>0</v>
      </c>
    </row>
    <row r="50" spans="1:6">
      <c r="A50" s="1194" t="s">
        <v>32</v>
      </c>
      <c r="B50" s="1194" t="s">
        <v>41</v>
      </c>
      <c r="C50" s="333">
        <v>16</v>
      </c>
      <c r="D50" s="333">
        <v>64757570.479590997</v>
      </c>
      <c r="E50" s="333">
        <v>26</v>
      </c>
      <c r="F50" s="333">
        <v>6677172.6548253996</v>
      </c>
    </row>
    <row r="51" spans="1:6">
      <c r="A51" s="1194" t="s">
        <v>42</v>
      </c>
      <c r="B51" s="1194" t="s">
        <v>43</v>
      </c>
      <c r="C51" s="333">
        <v>14</v>
      </c>
      <c r="D51" s="333">
        <v>231333.51163345401</v>
      </c>
      <c r="E51" s="333">
        <v>167</v>
      </c>
      <c r="F51" s="333">
        <v>3189664.7798939198</v>
      </c>
    </row>
    <row r="52" spans="1:6">
      <c r="A52" s="1194" t="s">
        <v>42</v>
      </c>
      <c r="B52" s="1194" t="s">
        <v>29</v>
      </c>
      <c r="C52" s="333">
        <v>1</v>
      </c>
      <c r="D52" s="333">
        <v>0</v>
      </c>
      <c r="E52" s="333">
        <v>8</v>
      </c>
      <c r="F52" s="333">
        <v>202271.82524108599</v>
      </c>
    </row>
    <row r="53" spans="1:6">
      <c r="A53" s="1194" t="s">
        <v>44</v>
      </c>
      <c r="B53" s="1194" t="s">
        <v>45</v>
      </c>
      <c r="C53" s="333">
        <v>194</v>
      </c>
      <c r="D53" s="333">
        <v>3560787.65588103</v>
      </c>
      <c r="E53" s="333">
        <v>301</v>
      </c>
      <c r="F53" s="333">
        <v>1452191.44618995</v>
      </c>
    </row>
    <row r="54" spans="1:6">
      <c r="A54" s="1194" t="s">
        <v>46</v>
      </c>
      <c r="B54" s="1194" t="s">
        <v>47</v>
      </c>
      <c r="C54" s="333">
        <v>0</v>
      </c>
      <c r="D54" s="333">
        <v>0</v>
      </c>
      <c r="E54" s="333">
        <v>1</v>
      </c>
      <c r="F54" s="333">
        <v>1008015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30</v>
      </c>
      <c r="D57" s="333">
        <v>747938.48392078199</v>
      </c>
      <c r="E57" s="333">
        <v>90</v>
      </c>
      <c r="F57" s="333">
        <v>1296141.6747723101</v>
      </c>
    </row>
    <row r="58" spans="1:6">
      <c r="A58" s="1194" t="s">
        <v>49</v>
      </c>
      <c r="B58" s="1194" t="s">
        <v>51</v>
      </c>
      <c r="C58" s="333">
        <v>0</v>
      </c>
      <c r="D58" s="333">
        <v>0</v>
      </c>
      <c r="E58" s="333">
        <v>6</v>
      </c>
      <c r="F58" s="333">
        <v>330772.52049205202</v>
      </c>
    </row>
    <row r="59" spans="1:6">
      <c r="A59" s="1194" t="s">
        <v>49</v>
      </c>
      <c r="B59" s="1194" t="s">
        <v>52</v>
      </c>
      <c r="C59" s="333">
        <v>79</v>
      </c>
      <c r="D59" s="333">
        <v>2850123.3730848199</v>
      </c>
      <c r="E59" s="333">
        <v>189</v>
      </c>
      <c r="F59" s="333">
        <v>3983959.7468039999</v>
      </c>
    </row>
    <row r="60" spans="1:6">
      <c r="A60" s="1194" t="s">
        <v>49</v>
      </c>
      <c r="B60" s="1194" t="s">
        <v>53</v>
      </c>
      <c r="C60" s="333">
        <v>41</v>
      </c>
      <c r="D60" s="333">
        <v>1940503.7076594301</v>
      </c>
      <c r="E60" s="333">
        <v>50</v>
      </c>
      <c r="F60" s="333">
        <v>1192105.7423852</v>
      </c>
    </row>
    <row r="61" spans="1:6">
      <c r="A61" s="1194" t="s">
        <v>49</v>
      </c>
      <c r="B61" s="1194" t="s">
        <v>54</v>
      </c>
      <c r="C61" s="333">
        <v>55</v>
      </c>
      <c r="D61" s="333">
        <v>3429288.1779994499</v>
      </c>
      <c r="E61" s="333">
        <v>123</v>
      </c>
      <c r="F61" s="333">
        <v>1100107.25517253</v>
      </c>
    </row>
    <row r="62" spans="1:6">
      <c r="A62" s="1194" t="s">
        <v>49</v>
      </c>
      <c r="B62" s="1194" t="s">
        <v>55</v>
      </c>
      <c r="C62" s="333">
        <v>5</v>
      </c>
      <c r="D62" s="333">
        <v>658507.18392964802</v>
      </c>
      <c r="E62" s="333">
        <v>3</v>
      </c>
      <c r="F62" s="333">
        <v>46338.47651742</v>
      </c>
    </row>
    <row r="63" spans="1:6">
      <c r="A63" s="1194" t="s">
        <v>49</v>
      </c>
      <c r="B63" s="1194" t="s">
        <v>29</v>
      </c>
      <c r="C63" s="333">
        <v>85</v>
      </c>
      <c r="D63" s="333">
        <v>4542778.0662393598</v>
      </c>
      <c r="E63" s="333">
        <v>82</v>
      </c>
      <c r="F63" s="333">
        <v>2401480.2955407999</v>
      </c>
    </row>
    <row r="64" spans="1:6">
      <c r="A64" s="1194" t="s">
        <v>56</v>
      </c>
      <c r="B64" s="1194" t="s">
        <v>57</v>
      </c>
      <c r="C64" s="333">
        <v>0</v>
      </c>
      <c r="D64" s="333">
        <v>0</v>
      </c>
      <c r="E64" s="333">
        <v>0</v>
      </c>
      <c r="F64" s="333">
        <v>0</v>
      </c>
    </row>
    <row r="65" spans="1:6">
      <c r="A65" s="1194" t="s">
        <v>56</v>
      </c>
      <c r="B65" s="1194" t="s">
        <v>29</v>
      </c>
      <c r="C65" s="333">
        <v>0</v>
      </c>
      <c r="D65" s="333">
        <v>0</v>
      </c>
      <c r="E65" s="333">
        <v>1</v>
      </c>
      <c r="F65" s="333">
        <v>5075.6339197939997</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7</v>
      </c>
      <c r="D68" s="333">
        <v>171661.10765070401</v>
      </c>
      <c r="E68" s="333">
        <v>19</v>
      </c>
      <c r="F68" s="333">
        <v>190842.687451309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45987094</v>
      </c>
      <c r="E73" s="333">
        <v>32618200.99309095</v>
      </c>
      <c r="F73" s="333">
        <v>42482767</v>
      </c>
    </row>
    <row r="74" spans="1:6">
      <c r="A74" s="1194" t="s">
        <v>64</v>
      </c>
      <c r="B74" s="1194" t="s">
        <v>775</v>
      </c>
      <c r="C74" s="1205" t="s">
        <v>776</v>
      </c>
      <c r="D74" s="333">
        <v>4194738.3560873577</v>
      </c>
      <c r="E74" s="333">
        <v>2943019.63247508</v>
      </c>
      <c r="F74" s="333">
        <v>3852076.403688686</v>
      </c>
    </row>
    <row r="75" spans="1:6">
      <c r="A75" s="1194" t="s">
        <v>65</v>
      </c>
      <c r="B75" s="1194" t="s">
        <v>773</v>
      </c>
      <c r="C75" s="1205" t="s">
        <v>777</v>
      </c>
      <c r="D75" s="333">
        <v>24251399</v>
      </c>
      <c r="E75" s="333">
        <v>15897087.238884747</v>
      </c>
      <c r="F75" s="333">
        <v>21889941</v>
      </c>
    </row>
    <row r="76" spans="1:6">
      <c r="A76" s="1194" t="s">
        <v>65</v>
      </c>
      <c r="B76" s="1194" t="s">
        <v>775</v>
      </c>
      <c r="C76" s="1205" t="s">
        <v>778</v>
      </c>
      <c r="D76" s="333">
        <v>898498.35608735774</v>
      </c>
      <c r="E76" s="333">
        <v>515308.32619052439</v>
      </c>
      <c r="F76" s="333">
        <v>802108.40368868597</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346553.28782528441</v>
      </c>
      <c r="C83" s="333">
        <v>312227.95902427775</v>
      </c>
      <c r="D83" s="333">
        <v>309585.19262262818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1828.3710662086717</v>
      </c>
    </row>
    <row r="92" spans="1:6">
      <c r="A92" s="1190" t="s">
        <v>69</v>
      </c>
      <c r="B92" s="336">
        <v>654.74281996285026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2557</v>
      </c>
    </row>
    <row r="98" spans="1:6">
      <c r="A98" s="1194" t="s">
        <v>72</v>
      </c>
      <c r="B98" s="333">
        <v>2</v>
      </c>
    </row>
    <row r="99" spans="1:6">
      <c r="A99" s="1194" t="s">
        <v>73</v>
      </c>
      <c r="B99" s="333">
        <v>154</v>
      </c>
    </row>
    <row r="100" spans="1:6">
      <c r="A100" s="1194" t="s">
        <v>74</v>
      </c>
      <c r="B100" s="333">
        <v>356</v>
      </c>
    </row>
    <row r="101" spans="1:6">
      <c r="A101" s="1194" t="s">
        <v>75</v>
      </c>
      <c r="B101" s="333">
        <v>153</v>
      </c>
    </row>
    <row r="102" spans="1:6">
      <c r="A102" s="1194" t="s">
        <v>76</v>
      </c>
      <c r="B102" s="333">
        <v>66</v>
      </c>
    </row>
    <row r="103" spans="1:6">
      <c r="A103" s="1194" t="s">
        <v>77</v>
      </c>
      <c r="B103" s="333">
        <v>193</v>
      </c>
    </row>
    <row r="104" spans="1:6">
      <c r="A104" s="1194" t="s">
        <v>78</v>
      </c>
      <c r="B104" s="333">
        <v>1595</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38</v>
      </c>
    </row>
    <row r="130" spans="1:6">
      <c r="A130" s="1194" t="s">
        <v>296</v>
      </c>
      <c r="B130" s="333">
        <v>1</v>
      </c>
    </row>
    <row r="131" spans="1:6">
      <c r="A131" s="1194" t="s">
        <v>297</v>
      </c>
      <c r="B131" s="333">
        <v>1</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48654.531862202282</v>
      </c>
      <c r="C3" s="43" t="s">
        <v>171</v>
      </c>
      <c r="D3" s="43"/>
      <c r="E3" s="156"/>
      <c r="F3" s="43"/>
      <c r="G3" s="43"/>
      <c r="H3" s="43"/>
      <c r="I3" s="43"/>
      <c r="J3" s="43"/>
      <c r="K3" s="96"/>
    </row>
    <row r="4" spans="1:11">
      <c r="A4" s="364" t="s">
        <v>172</v>
      </c>
      <c r="B4" s="49">
        <f>IF(ISERROR('SEAP template'!B69),0,'SEAP template'!B69)</f>
        <v>21657.613886171523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4556.7635294117654</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0.21628164940354747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6509.6621848739505</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27392.142857142859</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1008.015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1008.015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0.21628164940354747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218.01514682351689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22425.404889100901</v>
      </c>
      <c r="C5" s="17">
        <f>IF(ISERROR('Eigen informatie GS &amp; warmtenet'!B57),0,'Eigen informatie GS &amp; warmtenet'!B57)</f>
        <v>0</v>
      </c>
      <c r="D5" s="30">
        <f>(SUM(HH_hh_gas_kWh,HH_rest_gas_kWh)/1000)*0.902</f>
        <v>50489.942469720867</v>
      </c>
      <c r="E5" s="17">
        <f>B46*B57</f>
        <v>6302.016775964621</v>
      </c>
      <c r="F5" s="17">
        <f>B51*B62</f>
        <v>17858.609310049997</v>
      </c>
      <c r="G5" s="18"/>
      <c r="H5" s="17"/>
      <c r="I5" s="17"/>
      <c r="J5" s="17">
        <f>B50*B61+C50*C61</f>
        <v>2948.9257711548853</v>
      </c>
      <c r="K5" s="17"/>
      <c r="L5" s="17"/>
      <c r="M5" s="17"/>
      <c r="N5" s="17">
        <f>B48*B59+C48*C59</f>
        <v>18115.493345740852</v>
      </c>
      <c r="O5" s="17">
        <f>B69*B70*B71</f>
        <v>60.970000000000006</v>
      </c>
      <c r="P5" s="17">
        <f>B77*B78*B79/1000-B77*B78*B79/1000/B80</f>
        <v>57.2</v>
      </c>
    </row>
    <row r="6" spans="1:16">
      <c r="A6" s="16" t="s">
        <v>633</v>
      </c>
      <c r="B6" s="830">
        <f>kWh_PV_kleiner_dan_10kW</f>
        <v>1828.3710662086717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24253.775955309571</v>
      </c>
      <c r="C8" s="21">
        <f>C5</f>
        <v>0</v>
      </c>
      <c r="D8" s="21">
        <f>D5</f>
        <v>50489.942469720867</v>
      </c>
      <c r="E8" s="21">
        <f>E5</f>
        <v>6302.016775964621</v>
      </c>
      <c r="F8" s="21">
        <f>F5</f>
        <v>17858.609310049997</v>
      </c>
      <c r="G8" s="21"/>
      <c r="H8" s="21"/>
      <c r="I8" s="21"/>
      <c r="J8" s="21">
        <f>J5</f>
        <v>2948.9257711548853</v>
      </c>
      <c r="K8" s="21"/>
      <c r="L8" s="21">
        <f>L5</f>
        <v>0</v>
      </c>
      <c r="M8" s="21">
        <f>M5</f>
        <v>0</v>
      </c>
      <c r="N8" s="21">
        <f>N5</f>
        <v>18115.493345740852</v>
      </c>
      <c r="O8" s="21">
        <f>O5</f>
        <v>60.970000000000006</v>
      </c>
      <c r="P8" s="21">
        <f>P5</f>
        <v>57.2</v>
      </c>
    </row>
    <row r="9" spans="1:16">
      <c r="B9" s="19"/>
      <c r="C9" s="19"/>
      <c r="D9" s="260"/>
      <c r="E9" s="19"/>
      <c r="F9" s="19"/>
      <c r="G9" s="19"/>
      <c r="H9" s="19"/>
      <c r="I9" s="19"/>
      <c r="J9" s="19"/>
      <c r="K9" s="19"/>
      <c r="L9" s="19"/>
      <c r="M9" s="19"/>
      <c r="N9" s="19"/>
      <c r="O9" s="19"/>
      <c r="P9" s="19"/>
    </row>
    <row r="10" spans="1:16">
      <c r="A10" s="24" t="s">
        <v>215</v>
      </c>
      <c r="B10" s="25">
        <f ca="1">'EF ele_warmte'!B12</f>
        <v>0.21628164940354747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5245.6466678784545</v>
      </c>
      <c r="C12" s="23">
        <f ca="1">C10*C8</f>
        <v>0</v>
      </c>
      <c r="D12" s="23">
        <f>D8*D10</f>
        <v>10198.968378883616</v>
      </c>
      <c r="E12" s="23">
        <f>E10*E8</f>
        <v>1430.5578081439689</v>
      </c>
      <c r="F12" s="23">
        <f>F10*F8</f>
        <v>4768.2486857833492</v>
      </c>
      <c r="G12" s="23"/>
      <c r="H12" s="23"/>
      <c r="I12" s="23"/>
      <c r="J12" s="23">
        <f>J10*J8</f>
        <v>1043.9197229888293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2557</v>
      </c>
      <c r="C18" s="167" t="s">
        <v>111</v>
      </c>
      <c r="D18" s="229"/>
      <c r="E18" s="15"/>
    </row>
    <row r="19" spans="1:7">
      <c r="A19" s="172" t="s">
        <v>72</v>
      </c>
      <c r="B19" s="37">
        <f>aantalw2001_ander</f>
        <v>2</v>
      </c>
      <c r="C19" s="167" t="s">
        <v>111</v>
      </c>
      <c r="D19" s="230"/>
      <c r="E19" s="15"/>
    </row>
    <row r="20" spans="1:7">
      <c r="A20" s="172" t="s">
        <v>73</v>
      </c>
      <c r="B20" s="37">
        <f>aantalw2001_propaan</f>
        <v>154</v>
      </c>
      <c r="C20" s="168">
        <f>IF(ISERROR(B20/SUM($B$20,$B$21,$B$22)*100),0,B20/SUM($B$20,$B$21,$B$22)*100)</f>
        <v>23.227752639517345</v>
      </c>
      <c r="D20" s="230"/>
      <c r="E20" s="15"/>
    </row>
    <row r="21" spans="1:7">
      <c r="A21" s="172" t="s">
        <v>74</v>
      </c>
      <c r="B21" s="37">
        <f>aantalw2001_elektriciteit</f>
        <v>356</v>
      </c>
      <c r="C21" s="168">
        <f>IF(ISERROR(B21/SUM($B$20,$B$21,$B$22)*100),0,B21/SUM($B$20,$B$21,$B$22)*100)</f>
        <v>53.695324283559579</v>
      </c>
      <c r="D21" s="230"/>
      <c r="E21" s="15"/>
    </row>
    <row r="22" spans="1:7">
      <c r="A22" s="172" t="s">
        <v>75</v>
      </c>
      <c r="B22" s="37">
        <f>aantalw2001_hout</f>
        <v>153</v>
      </c>
      <c r="C22" s="168">
        <f>IF(ISERROR(B22/SUM($B$20,$B$21,$B$22)*100),0,B22/SUM($B$20,$B$21,$B$22)*100)</f>
        <v>23.076923076923077</v>
      </c>
      <c r="D22" s="230"/>
      <c r="E22" s="15"/>
    </row>
    <row r="23" spans="1:7">
      <c r="A23" s="172" t="s">
        <v>76</v>
      </c>
      <c r="B23" s="37">
        <f>aantalw2001_niet_gespec</f>
        <v>66</v>
      </c>
      <c r="C23" s="167" t="s">
        <v>111</v>
      </c>
      <c r="D23" s="229"/>
      <c r="E23" s="15"/>
    </row>
    <row r="24" spans="1:7">
      <c r="A24" s="172" t="s">
        <v>77</v>
      </c>
      <c r="B24" s="37">
        <f>aantalw2001_steenkool</f>
        <v>193</v>
      </c>
      <c r="C24" s="167" t="s">
        <v>111</v>
      </c>
      <c r="D24" s="230"/>
      <c r="E24" s="15"/>
    </row>
    <row r="25" spans="1:7">
      <c r="A25" s="172" t="s">
        <v>78</v>
      </c>
      <c r="B25" s="37">
        <f>aantalw2001_stookolie</f>
        <v>1595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5667</v>
      </c>
      <c r="C28" s="36"/>
      <c r="D28" s="229"/>
    </row>
    <row r="29" spans="1:7" s="15" customFormat="1">
      <c r="A29" s="231" t="s">
        <v>714</v>
      </c>
      <c r="B29" s="37">
        <f>SUM(HH_hh_gas_aantal,HH_rest_gas_aantal)</f>
        <v>3459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3459</v>
      </c>
      <c r="C32" s="168">
        <f>IF(ISERROR(B32/SUM($B$32,$B$34,$B$35,$B$36,$B$38,$B$39)*100),0,B32/SUM($B$32,$B$34,$B$35,$B$36,$B$38,$B$39)*100)</f>
        <v>61.069915254237287</v>
      </c>
      <c r="D32" s="234"/>
      <c r="G32" s="15"/>
    </row>
    <row r="33" spans="1:7">
      <c r="A33" s="172" t="s">
        <v>72</v>
      </c>
      <c r="B33" s="34" t="s">
        <v>111</v>
      </c>
      <c r="C33" s="168"/>
      <c r="D33" s="234"/>
      <c r="G33" s="15"/>
    </row>
    <row r="34" spans="1:7">
      <c r="A34" s="172" t="s">
        <v>73</v>
      </c>
      <c r="B34" s="33">
        <f>IF((($B$28-$B$32-$B$39-$B$77-$B$38)*C20/100)&lt;0,0,($B$28-$B$32-$B$39-$B$77-$B$38)*C20/100)</f>
        <v>306.37405731523381</v>
      </c>
      <c r="C34" s="168">
        <f>IF(ISERROR(B34/SUM($B$32,$B$34,$B$35,$B$36,$B$38,$B$39)*100),0,B34/SUM($B$32,$B$34,$B$35,$B$36,$B$38,$B$39)*100)</f>
        <v>5.4091464921474897</v>
      </c>
      <c r="D34" s="234"/>
      <c r="G34" s="15"/>
    </row>
    <row r="35" spans="1:7">
      <c r="A35" s="172" t="s">
        <v>74</v>
      </c>
      <c r="B35" s="33">
        <f>IF((($B$28-$B$32-$B$39-$B$77-$B$38)*C21/100)&lt;0,0,($B$28-$B$32-$B$39-$B$77-$B$38)*C21/100)</f>
        <v>708.24132730015106</v>
      </c>
      <c r="C35" s="168">
        <f>IF(ISERROR(B35/SUM($B$32,$B$34,$B$35,$B$36,$B$38,$B$39)*100),0,B35/SUM($B$32,$B$34,$B$35,$B$36,$B$38,$B$39)*100)</f>
        <v>12.504260722107185</v>
      </c>
      <c r="D35" s="234"/>
      <c r="G35" s="15"/>
    </row>
    <row r="36" spans="1:7">
      <c r="A36" s="172" t="s">
        <v>75</v>
      </c>
      <c r="B36" s="33">
        <f>IF((($B$28-$B$32-$B$39-$B$77-$B$38)*C22/100)&lt;0,0,($B$28-$B$32-$B$39-$B$77-$B$38)*C22/100)</f>
        <v>304.38461538461542</v>
      </c>
      <c r="C36" s="168">
        <f>IF(ISERROR(B36/SUM($B$32,$B$34,$B$35,$B$36,$B$38,$B$39)*100),0,B36/SUM($B$32,$B$34,$B$35,$B$36,$B$38,$B$39)*100)</f>
        <v>5.3740221642764023</v>
      </c>
      <c r="D36" s="234"/>
      <c r="G36" s="15"/>
    </row>
    <row r="37" spans="1:7">
      <c r="A37" s="172" t="s">
        <v>76</v>
      </c>
      <c r="B37" s="34" t="s">
        <v>111</v>
      </c>
      <c r="C37" s="168"/>
      <c r="D37" s="174"/>
      <c r="G37" s="15"/>
    </row>
    <row r="38" spans="1:7">
      <c r="A38" s="172" t="s">
        <v>77</v>
      </c>
      <c r="B38" s="33">
        <f>IF((B24-(B29-B18)*0.1)&lt;0,0,B24-(B29-B18)*0.1)</f>
        <v>102.8</v>
      </c>
      <c r="C38" s="168">
        <f>IF(ISERROR(B38/SUM($B$32,$B$34,$B$35,$B$36,$B$38,$B$39)*100),0,B38/SUM($B$32,$B$34,$B$35,$B$36,$B$38,$B$39)*100)</f>
        <v>1.8149717514124295</v>
      </c>
      <c r="D38" s="235"/>
      <c r="G38" s="15"/>
    </row>
    <row r="39" spans="1:7">
      <c r="A39" s="172" t="s">
        <v>78</v>
      </c>
      <c r="B39" s="33">
        <f>IF((B25-(B29-B18))&lt;0,0,B25-(B29-B18)*0.9)</f>
        <v>783.19999999999993</v>
      </c>
      <c r="C39" s="168">
        <f>IF(ISERROR(B39/SUM($B$32,$B$34,$B$35,$B$36,$B$38,$B$39)*100),0,B39/SUM($B$32,$B$34,$B$35,$B$36,$B$38,$B$39)*100)</f>
        <v>13.827683615819208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3459</v>
      </c>
      <c r="C44" s="34" t="s">
        <v>111</v>
      </c>
      <c r="D44" s="175"/>
    </row>
    <row r="45" spans="1:7">
      <c r="A45" s="172" t="s">
        <v>72</v>
      </c>
      <c r="B45" s="33" t="str">
        <f t="shared" si="0"/>
        <v>-</v>
      </c>
      <c r="C45" s="34" t="s">
        <v>111</v>
      </c>
      <c r="D45" s="175"/>
    </row>
    <row r="46" spans="1:7">
      <c r="A46" s="172" t="s">
        <v>73</v>
      </c>
      <c r="B46" s="33">
        <f t="shared" si="0"/>
        <v>306.37405731523381</v>
      </c>
      <c r="C46" s="34" t="s">
        <v>111</v>
      </c>
      <c r="D46" s="175"/>
    </row>
    <row r="47" spans="1:7">
      <c r="A47" s="172" t="s">
        <v>74</v>
      </c>
      <c r="B47" s="33">
        <f t="shared" si="0"/>
        <v>708.24132730015106</v>
      </c>
      <c r="C47" s="34" t="s">
        <v>111</v>
      </c>
      <c r="D47" s="175"/>
    </row>
    <row r="48" spans="1:7">
      <c r="A48" s="172" t="s">
        <v>75</v>
      </c>
      <c r="B48" s="33">
        <f t="shared" si="0"/>
        <v>304.38461538461542</v>
      </c>
      <c r="C48" s="33">
        <f>B48*10</f>
        <v>3043.8461538461543</v>
      </c>
      <c r="D48" s="235"/>
    </row>
    <row r="49" spans="1:6">
      <c r="A49" s="172" t="s">
        <v>76</v>
      </c>
      <c r="B49" s="33" t="str">
        <f t="shared" si="0"/>
        <v>-</v>
      </c>
      <c r="C49" s="34" t="s">
        <v>111</v>
      </c>
      <c r="D49" s="235"/>
    </row>
    <row r="50" spans="1:6">
      <c r="A50" s="172" t="s">
        <v>77</v>
      </c>
      <c r="B50" s="33">
        <f t="shared" si="0"/>
        <v>102.8</v>
      </c>
      <c r="C50" s="33">
        <f>B50*2</f>
        <v>205.6</v>
      </c>
      <c r="D50" s="235"/>
    </row>
    <row r="51" spans="1:6">
      <c r="A51" s="172" t="s">
        <v>78</v>
      </c>
      <c r="B51" s="33">
        <f t="shared" si="0"/>
        <v>783.19999999999993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10350.905711684311</v>
      </c>
      <c r="C5" s="17">
        <f>IF(ISERROR('Eigen informatie GS &amp; warmtenet'!B58),0,'Eigen informatie GS &amp; warmtenet'!B58)</f>
        <v>0</v>
      </c>
      <c r="D5" s="30">
        <f>SUM(D6:D12)</f>
        <v>12780.563371535809</v>
      </c>
      <c r="E5" s="17">
        <f>SUM(E6:E12)</f>
        <v>185.79034469054127</v>
      </c>
      <c r="F5" s="17">
        <f>SUM(F6:F12)</f>
        <v>1921.2135319836445</v>
      </c>
      <c r="G5" s="18"/>
      <c r="H5" s="17"/>
      <c r="I5" s="17"/>
      <c r="J5" s="17">
        <f>SUM(J6:J12)</f>
        <v>0</v>
      </c>
      <c r="K5" s="17"/>
      <c r="L5" s="17"/>
      <c r="M5" s="17"/>
      <c r="N5" s="17">
        <f>SUM(N6:N12)</f>
        <v>380.20726773250288</v>
      </c>
      <c r="O5" s="17">
        <f>B38*B39*B40</f>
        <v>1.5633333333333335</v>
      </c>
      <c r="P5" s="17">
        <f>B46*B47*B48/1000-B46*B47*B48/1000/B49</f>
        <v>19.066666666666666</v>
      </c>
      <c r="R5" s="32"/>
    </row>
    <row r="6" spans="1:18">
      <c r="A6" s="32" t="s">
        <v>54</v>
      </c>
      <c r="B6" s="37">
        <f>B26</f>
        <v>1100.1072551725299</v>
      </c>
      <c r="C6" s="33"/>
      <c r="D6" s="37">
        <f>IF(ISERROR(TER_kantoor_gas_kWh/1000),0,TER_kantoor_gas_kWh/1000)*0.902</f>
        <v>3093.2179365555039</v>
      </c>
      <c r="E6" s="33">
        <f>$C$26*'E Balans VL '!I12/100/3.6*1000000</f>
        <v>38.508081474251988</v>
      </c>
      <c r="F6" s="33">
        <f>$C$26*('E Balans VL '!L12+'E Balans VL '!N12)/100/3.6*1000000</f>
        <v>166.79987895547839</v>
      </c>
      <c r="G6" s="34"/>
      <c r="H6" s="33"/>
      <c r="I6" s="33"/>
      <c r="J6" s="33">
        <f>$C$26*('E Balans VL '!D12+'E Balans VL '!E12)/100/3.6*1000000</f>
        <v>0</v>
      </c>
      <c r="K6" s="33"/>
      <c r="L6" s="33"/>
      <c r="M6" s="33"/>
      <c r="N6" s="33">
        <f>$C$26*'E Balans VL '!Y12/100/3.6*1000000</f>
        <v>8.5034847583890123</v>
      </c>
      <c r="O6" s="33"/>
      <c r="P6" s="33"/>
      <c r="R6" s="32"/>
    </row>
    <row r="7" spans="1:18">
      <c r="A7" s="32" t="s">
        <v>53</v>
      </c>
      <c r="B7" s="37">
        <f t="shared" ref="B7:B12" si="0">B27</f>
        <v>1192.1057423852001</v>
      </c>
      <c r="C7" s="33"/>
      <c r="D7" s="37">
        <f>IF(ISERROR(TER_horeca_gas_kWh/1000),0,TER_horeca_gas_kWh/1000)*0.902</f>
        <v>1750.3343443088061</v>
      </c>
      <c r="E7" s="33">
        <f>$C$27*'E Balans VL '!I9/100/3.6*1000000</f>
        <v>67.250615016490869</v>
      </c>
      <c r="F7" s="33">
        <f>$C$27*('E Balans VL '!L9+'E Balans VL '!N9)/100/3.6*1000000</f>
        <v>207.67141752138426</v>
      </c>
      <c r="G7" s="34"/>
      <c r="H7" s="33"/>
      <c r="I7" s="33"/>
      <c r="J7" s="33">
        <f>$C$27*('E Balans VL '!D9+'E Balans VL '!E9)/100/3.6*1000000</f>
        <v>0</v>
      </c>
      <c r="K7" s="33"/>
      <c r="L7" s="33"/>
      <c r="M7" s="33"/>
      <c r="N7" s="33">
        <f>$C$27*'E Balans VL '!Y9/100/3.6*1000000</f>
        <v>0</v>
      </c>
      <c r="O7" s="33"/>
      <c r="P7" s="33"/>
      <c r="R7" s="32"/>
    </row>
    <row r="8" spans="1:18">
      <c r="A8" s="6" t="s">
        <v>52</v>
      </c>
      <c r="B8" s="37">
        <f t="shared" si="0"/>
        <v>3983.9597468039997</v>
      </c>
      <c r="C8" s="33"/>
      <c r="D8" s="37">
        <f>IF(ISERROR(TER_handel_gas_kWh/1000),0,TER_handel_gas_kWh/1000)*0.902</f>
        <v>2570.8112825225076</v>
      </c>
      <c r="E8" s="33">
        <f>$C$28*'E Balans VL '!I13/100/3.6*1000000</f>
        <v>20.453244575651905</v>
      </c>
      <c r="F8" s="33">
        <f>$C$28*('E Balans VL '!L13+'E Balans VL '!N13)/100/3.6*1000000</f>
        <v>614.26503445983292</v>
      </c>
      <c r="G8" s="34"/>
      <c r="H8" s="33"/>
      <c r="I8" s="33"/>
      <c r="J8" s="33">
        <f>$C$28*('E Balans VL '!D13+'E Balans VL '!E13)/100/3.6*1000000</f>
        <v>0</v>
      </c>
      <c r="K8" s="33"/>
      <c r="L8" s="33"/>
      <c r="M8" s="33"/>
      <c r="N8" s="33">
        <f>$C$28*'E Balans VL '!Y13/100/3.6*1000000</f>
        <v>1.863346604354825</v>
      </c>
      <c r="O8" s="33"/>
      <c r="P8" s="33"/>
      <c r="R8" s="32"/>
    </row>
    <row r="9" spans="1:18">
      <c r="A9" s="32" t="s">
        <v>51</v>
      </c>
      <c r="B9" s="37">
        <f t="shared" si="0"/>
        <v>330.77252049205202</v>
      </c>
      <c r="C9" s="33"/>
      <c r="D9" s="37">
        <f>IF(ISERROR(TER_gezond_gas_kWh/1000),0,TER_gezond_gas_kWh/1000)*0.902</f>
        <v>0</v>
      </c>
      <c r="E9" s="33">
        <f>$C$29*'E Balans VL '!I10/100/3.6*1000000</f>
        <v>0.13710285406649159</v>
      </c>
      <c r="F9" s="33">
        <f>$C$29*('E Balans VL '!L10+'E Balans VL '!N10)/100/3.6*1000000</f>
        <v>81.464527886446319</v>
      </c>
      <c r="G9" s="34"/>
      <c r="H9" s="33"/>
      <c r="I9" s="33"/>
      <c r="J9" s="33">
        <f>$C$29*('E Balans VL '!D10+'E Balans VL '!E10)/100/3.6*1000000</f>
        <v>0</v>
      </c>
      <c r="K9" s="33"/>
      <c r="L9" s="33"/>
      <c r="M9" s="33"/>
      <c r="N9" s="33">
        <f>$C$29*'E Balans VL '!Y10/100/3.6*1000000</f>
        <v>2.8586932804250922</v>
      </c>
      <c r="O9" s="33"/>
      <c r="P9" s="33"/>
      <c r="R9" s="32"/>
    </row>
    <row r="10" spans="1:18">
      <c r="A10" s="32" t="s">
        <v>50</v>
      </c>
      <c r="B10" s="37">
        <f t="shared" si="0"/>
        <v>1296.1416747723101</v>
      </c>
      <c r="C10" s="33"/>
      <c r="D10" s="37">
        <f>IF(ISERROR(TER_ander_gas_kWh/1000),0,TER_ander_gas_kWh/1000)*0.902</f>
        <v>674.6405124965454</v>
      </c>
      <c r="E10" s="33">
        <f>$C$30*'E Balans VL '!I14/100/3.6*1000000</f>
        <v>7.9013116287233984</v>
      </c>
      <c r="F10" s="33">
        <f>$C$30*('E Balans VL '!L14+'E Balans VL '!N14)/100/3.6*1000000</f>
        <v>343.62491310903232</v>
      </c>
      <c r="G10" s="34"/>
      <c r="H10" s="33"/>
      <c r="I10" s="33"/>
      <c r="J10" s="33">
        <f>$C$30*('E Balans VL '!D14+'E Balans VL '!E14)/100/3.6*1000000</f>
        <v>0</v>
      </c>
      <c r="K10" s="33"/>
      <c r="L10" s="33"/>
      <c r="M10" s="33"/>
      <c r="N10" s="33">
        <f>$C$30*'E Balans VL '!Y14/100/3.6*1000000</f>
        <v>298.7326484749002</v>
      </c>
      <c r="O10" s="33"/>
      <c r="P10" s="33"/>
      <c r="R10" s="32"/>
    </row>
    <row r="11" spans="1:18">
      <c r="A11" s="32" t="s">
        <v>55</v>
      </c>
      <c r="B11" s="37">
        <f t="shared" si="0"/>
        <v>46.338476517419998</v>
      </c>
      <c r="C11" s="33"/>
      <c r="D11" s="37">
        <f>IF(ISERROR(TER_onderwijs_gas_kWh/1000),0,TER_onderwijs_gas_kWh/1000)*0.902</f>
        <v>593.9734799045425</v>
      </c>
      <c r="E11" s="33">
        <f>$C$31*'E Balans VL '!I11/100/3.6*1000000</f>
        <v>3.5312331976236656E-2</v>
      </c>
      <c r="F11" s="33">
        <f>$C$31*('E Balans VL '!L11+'E Balans VL '!N11)/100/3.6*1000000</f>
        <v>33.533061062179435</v>
      </c>
      <c r="G11" s="34"/>
      <c r="H11" s="33"/>
      <c r="I11" s="33"/>
      <c r="J11" s="33">
        <f>$C$31*('E Balans VL '!D11+'E Balans VL '!E11)/100/3.6*1000000</f>
        <v>0</v>
      </c>
      <c r="K11" s="33"/>
      <c r="L11" s="33"/>
      <c r="M11" s="33"/>
      <c r="N11" s="33">
        <f>$C$31*'E Balans VL '!Y11/100/3.6*1000000</f>
        <v>0.13657056499092168</v>
      </c>
      <c r="O11" s="33"/>
      <c r="P11" s="33"/>
      <c r="R11" s="32"/>
    </row>
    <row r="12" spans="1:18">
      <c r="A12" s="32" t="s">
        <v>261</v>
      </c>
      <c r="B12" s="37">
        <f t="shared" si="0"/>
        <v>2401.4802955407999</v>
      </c>
      <c r="C12" s="33"/>
      <c r="D12" s="37">
        <f>IF(ISERROR(TER_rest_gas_kWh/1000),0,TER_rest_gas_kWh/1000)*0.902</f>
        <v>4097.5858157479024</v>
      </c>
      <c r="E12" s="33">
        <f>$C$32*'E Balans VL '!I8/100/3.6*1000000</f>
        <v>51.504676809380378</v>
      </c>
      <c r="F12" s="33">
        <f>$C$32*('E Balans VL '!L8+'E Balans VL '!N8)/100/3.6*1000000</f>
        <v>473.85469898929063</v>
      </c>
      <c r="G12" s="34"/>
      <c r="H12" s="33"/>
      <c r="I12" s="33"/>
      <c r="J12" s="33">
        <f>$C$32*('E Balans VL '!D8+'E Balans VL '!E8)/100/3.6*1000000</f>
        <v>0</v>
      </c>
      <c r="K12" s="33"/>
      <c r="L12" s="33"/>
      <c r="M12" s="33"/>
      <c r="N12" s="33">
        <f>$C$32*'E Balans VL '!Y8/100/3.6*1000000</f>
        <v>68.112524049442882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10350.905711684311</v>
      </c>
      <c r="C16" s="21">
        <f ca="1">C5+C13+C14</f>
        <v>0</v>
      </c>
      <c r="D16" s="21">
        <f t="shared" ref="D16:N16" ca="1" si="1">MAX((D5+D13+D14),0)</f>
        <v>12780.563371535809</v>
      </c>
      <c r="E16" s="21">
        <f t="shared" si="1"/>
        <v>185.79034469054127</v>
      </c>
      <c r="F16" s="21">
        <f t="shared" ca="1" si="1"/>
        <v>1921.2135319836445</v>
      </c>
      <c r="G16" s="21">
        <f t="shared" si="1"/>
        <v>0</v>
      </c>
      <c r="H16" s="21">
        <f t="shared" si="1"/>
        <v>0</v>
      </c>
      <c r="I16" s="21">
        <f t="shared" si="1"/>
        <v>0</v>
      </c>
      <c r="J16" s="21">
        <f t="shared" si="1"/>
        <v>0</v>
      </c>
      <c r="K16" s="21">
        <f t="shared" si="1"/>
        <v>0</v>
      </c>
      <c r="L16" s="21">
        <f t="shared" ca="1" si="1"/>
        <v>0</v>
      </c>
      <c r="M16" s="21">
        <f t="shared" si="1"/>
        <v>0</v>
      </c>
      <c r="N16" s="21">
        <f t="shared" ca="1" si="1"/>
        <v>380.20726773250288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0.21628164940354747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2238.7109601436832</v>
      </c>
      <c r="C20" s="23">
        <f t="shared" ref="C20:P20" ca="1" si="2">C16*C18</f>
        <v>0</v>
      </c>
      <c r="D20" s="23">
        <f t="shared" ca="1" si="2"/>
        <v>2581.6738010502336</v>
      </c>
      <c r="E20" s="23">
        <f t="shared" si="2"/>
        <v>42.174408244752868</v>
      </c>
      <c r="F20" s="23">
        <f t="shared" ca="1" si="2"/>
        <v>512.96401303963307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1100.1072551725299</v>
      </c>
      <c r="C26" s="39">
        <f>IF(ISERROR(B26*3.6/1000000/'E Balans VL '!Z12*100),0,B26*3.6/1000000/'E Balans VL '!Z12*100)</f>
        <v>2.3149932794549469E-2</v>
      </c>
      <c r="D26" s="238" t="s">
        <v>720</v>
      </c>
      <c r="F26" s="6"/>
    </row>
    <row r="27" spans="1:18">
      <c r="A27" s="232" t="s">
        <v>53</v>
      </c>
      <c r="B27" s="33">
        <f>IF(ISERROR(TER_horeca_ele_kWh/1000),0,TER_horeca_ele_kWh/1000)</f>
        <v>1192.1057423852001</v>
      </c>
      <c r="C27" s="39">
        <f>IF(ISERROR(B27*3.6/1000000/'E Balans VL '!Z9*100),0,B27*3.6/1000000/'E Balans VL '!Z9*100)</f>
        <v>0.10093224342163992</v>
      </c>
      <c r="D27" s="238" t="s">
        <v>720</v>
      </c>
      <c r="F27" s="6"/>
    </row>
    <row r="28" spans="1:18">
      <c r="A28" s="172" t="s">
        <v>52</v>
      </c>
      <c r="B28" s="33">
        <f>IF(ISERROR(TER_handel_ele_kWh/1000),0,TER_handel_ele_kWh/1000)</f>
        <v>3983.9597468039997</v>
      </c>
      <c r="C28" s="39">
        <f>IF(ISERROR(B28*3.6/1000000/'E Balans VL '!Z13*100),0,B28*3.6/1000000/'E Balans VL '!Z13*100)</f>
        <v>0.1102953746921168</v>
      </c>
      <c r="D28" s="238" t="s">
        <v>720</v>
      </c>
      <c r="F28" s="6"/>
    </row>
    <row r="29" spans="1:18">
      <c r="A29" s="232" t="s">
        <v>51</v>
      </c>
      <c r="B29" s="33">
        <f>IF(ISERROR(TER_gezond_ele_kWh/1000),0,TER_gezond_ele_kWh/1000)</f>
        <v>330.77252049205202</v>
      </c>
      <c r="C29" s="39">
        <f>IF(ISERROR(B29*3.6/1000000/'E Balans VL '!Z10*100),0,B29*3.6/1000000/'E Balans VL '!Z10*100)</f>
        <v>4.2996760623037839E-2</v>
      </c>
      <c r="D29" s="238" t="s">
        <v>720</v>
      </c>
      <c r="F29" s="6"/>
    </row>
    <row r="30" spans="1:18">
      <c r="A30" s="232" t="s">
        <v>50</v>
      </c>
      <c r="B30" s="33">
        <f>IF(ISERROR(TER_ander_ele_kWh/1000),0,TER_ander_ele_kWh/1000)</f>
        <v>1296.1416747723101</v>
      </c>
      <c r="C30" s="39">
        <f>IF(ISERROR(B30*3.6/1000000/'E Balans VL '!Z14*100),0,B30*3.6/1000000/'E Balans VL '!Z14*100)</f>
        <v>0.10046286632203563</v>
      </c>
      <c r="D30" s="238" t="s">
        <v>720</v>
      </c>
      <c r="F30" s="6"/>
    </row>
    <row r="31" spans="1:18">
      <c r="A31" s="232" t="s">
        <v>55</v>
      </c>
      <c r="B31" s="33">
        <f>IF(ISERROR(TER_onderwijs_ele_kWh/1000),0,TER_onderwijs_ele_kWh/1000)</f>
        <v>46.338476517419998</v>
      </c>
      <c r="C31" s="39">
        <f>IF(ISERROR(B31*3.6/1000000/'E Balans VL '!Z11*100),0,B31*3.6/1000000/'E Balans VL '!Z11*100)</f>
        <v>8.8653401487128643E-3</v>
      </c>
      <c r="D31" s="238" t="s">
        <v>720</v>
      </c>
    </row>
    <row r="32" spans="1:18">
      <c r="A32" s="232" t="s">
        <v>261</v>
      </c>
      <c r="B32" s="33">
        <f>IF(ISERROR(TER_rest_ele_kWh/1000),0,TER_rest_ele_kWh/1000)</f>
        <v>2401.4802955407999</v>
      </c>
      <c r="C32" s="39">
        <f>IF(ISERROR(B32*3.6/1000000/'E Balans VL '!Z8*100),0,B32*3.6/1000000/'E Balans VL '!Z8*100)</f>
        <v>1.9802049170827663E-2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9649.3378039563377</v>
      </c>
      <c r="C5" s="17">
        <f>IF(ISERROR('Eigen informatie GS &amp; warmtenet'!B59),0,'Eigen informatie GS &amp; warmtenet'!B59)</f>
        <v>0</v>
      </c>
      <c r="D5" s="30">
        <f>SUM(D6:D15)</f>
        <v>73665.861895388429</v>
      </c>
      <c r="E5" s="17">
        <f>SUM(E6:E15)</f>
        <v>102.10024142719898</v>
      </c>
      <c r="F5" s="17">
        <f>SUM(F6:F15)</f>
        <v>2667.986948294285</v>
      </c>
      <c r="G5" s="18"/>
      <c r="H5" s="17"/>
      <c r="I5" s="17"/>
      <c r="J5" s="17">
        <f>SUM(J6:J15)</f>
        <v>39.543765629792645</v>
      </c>
      <c r="K5" s="17"/>
      <c r="L5" s="17"/>
      <c r="M5" s="17"/>
      <c r="N5" s="17">
        <f>SUM(N6:N15)</f>
        <v>244.51356942019845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295.26725528410202</v>
      </c>
      <c r="C8" s="33"/>
      <c r="D8" s="37">
        <f>IF( ISERROR(IND_metaal_Gas_kWH/1000),0,IND_metaal_Gas_kWH/1000)*0.902</f>
        <v>0</v>
      </c>
      <c r="E8" s="33">
        <f>C30*'E Balans VL '!I18/100/3.6*1000000</f>
        <v>2.074777855116626</v>
      </c>
      <c r="F8" s="33">
        <f>C30*'E Balans VL '!L18/100/3.6*1000000+C30*'E Balans VL '!N18/100/3.6*1000000</f>
        <v>32.418617146717324</v>
      </c>
      <c r="G8" s="34"/>
      <c r="H8" s="33"/>
      <c r="I8" s="33"/>
      <c r="J8" s="40">
        <f>C30*'E Balans VL '!D18/100/3.6*1000000+C30*'E Balans VL '!E18/100/3.6*1000000</f>
        <v>6.0919998931237274</v>
      </c>
      <c r="K8" s="33"/>
      <c r="L8" s="33"/>
      <c r="M8" s="33"/>
      <c r="N8" s="33">
        <f>C30*'E Balans VL '!Y18/100/3.6*1000000</f>
        <v>1.1066829379297309</v>
      </c>
      <c r="O8" s="33"/>
      <c r="P8" s="33"/>
      <c r="R8" s="32"/>
    </row>
    <row r="9" spans="1:18">
      <c r="A9" s="6" t="s">
        <v>33</v>
      </c>
      <c r="B9" s="37">
        <f t="shared" si="0"/>
        <v>1757.3032304591002</v>
      </c>
      <c r="C9" s="33"/>
      <c r="D9" s="37">
        <f>IF( ISERROR(IND_andere_gas_kWh/1000),0,IND_andere_gas_kWh/1000)*0.902</f>
        <v>1298.9930847216826</v>
      </c>
      <c r="E9" s="33">
        <f>C31*'E Balans VL '!I19/100/3.6*1000000</f>
        <v>29.516060520751871</v>
      </c>
      <c r="F9" s="33">
        <f>C31*'E Balans VL '!L19/100/3.6*1000000+C31*'E Balans VL '!N19/100/3.6*1000000</f>
        <v>1373.7595770542848</v>
      </c>
      <c r="G9" s="34"/>
      <c r="H9" s="33"/>
      <c r="I9" s="33"/>
      <c r="J9" s="40">
        <f>C31*'E Balans VL '!D19/100/3.6*1000000+C31*'E Balans VL '!E19/100/3.6*1000000</f>
        <v>0.15849323899538548</v>
      </c>
      <c r="K9" s="33"/>
      <c r="L9" s="33"/>
      <c r="M9" s="33"/>
      <c r="N9" s="33">
        <f>C31*'E Balans VL '!Y19/100/3.6*1000000</f>
        <v>130.2443628252779</v>
      </c>
      <c r="O9" s="33"/>
      <c r="P9" s="33"/>
      <c r="R9" s="32"/>
    </row>
    <row r="10" spans="1:18">
      <c r="A10" s="6" t="s">
        <v>41</v>
      </c>
      <c r="B10" s="37">
        <f t="shared" si="0"/>
        <v>6677.1726548254001</v>
      </c>
      <c r="C10" s="33"/>
      <c r="D10" s="37">
        <f>IF( ISERROR(IND_voed_gas_kWh/1000),0,IND_voed_gas_kWh/1000)*0.902</f>
        <v>58411.328572591083</v>
      </c>
      <c r="E10" s="33">
        <f>C32*'E Balans VL '!I20/100/3.6*1000000</f>
        <v>60.919748603663642</v>
      </c>
      <c r="F10" s="33">
        <f>C32*'E Balans VL '!L20/100/3.6*1000000+C32*'E Balans VL '!N20/100/3.6*1000000</f>
        <v>1077.236798961668</v>
      </c>
      <c r="G10" s="34"/>
      <c r="H10" s="33"/>
      <c r="I10" s="33"/>
      <c r="J10" s="40">
        <f>C32*'E Balans VL '!D20/100/3.6*1000000+C32*'E Balans VL '!E20/100/3.6*1000000</f>
        <v>27.500974758869635</v>
      </c>
      <c r="K10" s="33"/>
      <c r="L10" s="33"/>
      <c r="M10" s="33"/>
      <c r="N10" s="33">
        <f>C32*'E Balans VL '!Y20/100/3.6*1000000</f>
        <v>97.681770841686685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59.354838251652403</v>
      </c>
      <c r="C13" s="33"/>
      <c r="D13" s="37">
        <f>IF( ISERROR(IND_papier_gas_kWh/1000),0,IND_papier_gas_kWh/1000)*0.902</f>
        <v>162.25483505515001</v>
      </c>
      <c r="E13" s="33">
        <f>C35*'E Balans VL '!I23/100/3.6*1000000</f>
        <v>1.8261934706714971</v>
      </c>
      <c r="F13" s="33">
        <f>C35*'E Balans VL '!L23/100/3.6*1000000+C35*'E Balans VL '!N23/100/3.6*1000000</f>
        <v>12.603106489866386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860.23982513608291</v>
      </c>
      <c r="C15" s="33"/>
      <c r="D15" s="37">
        <f>IF( ISERROR(IND_rest_gas_kWh/1000),0,IND_rest_gas_kWh/1000)*0.902</f>
        <v>13793.285403020509</v>
      </c>
      <c r="E15" s="33">
        <f>C37*'E Balans VL '!I15/100/3.6*1000000</f>
        <v>7.7634609769953435</v>
      </c>
      <c r="F15" s="33">
        <f>C37*'E Balans VL '!L15/100/3.6*1000000+C37*'E Balans VL '!N15/100/3.6*1000000</f>
        <v>171.96884864174862</v>
      </c>
      <c r="G15" s="34"/>
      <c r="H15" s="33"/>
      <c r="I15" s="33"/>
      <c r="J15" s="40">
        <f>C37*'E Balans VL '!D15/100/3.6*1000000+C37*'E Balans VL '!E15/100/3.6*1000000</f>
        <v>5.7922977388038941</v>
      </c>
      <c r="K15" s="33"/>
      <c r="L15" s="33"/>
      <c r="M15" s="33"/>
      <c r="N15" s="33">
        <f>C37*'E Balans VL '!Y15/100/3.6*1000000</f>
        <v>15.480752815304138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9649.3378039563377</v>
      </c>
      <c r="C18" s="21">
        <f>C5+C16</f>
        <v>0</v>
      </c>
      <c r="D18" s="21">
        <f>MAX((D5+D16),0)</f>
        <v>73665.861895388429</v>
      </c>
      <c r="E18" s="21">
        <f>MAX((E5+E16),0)</f>
        <v>102.10024142719898</v>
      </c>
      <c r="F18" s="21">
        <f>MAX((F5+F16),0)</f>
        <v>2667.986948294285</v>
      </c>
      <c r="G18" s="21"/>
      <c r="H18" s="21"/>
      <c r="I18" s="21"/>
      <c r="J18" s="21">
        <f>MAX((J5+J16),0)</f>
        <v>39.543765629792645</v>
      </c>
      <c r="K18" s="21"/>
      <c r="L18" s="21">
        <f>MAX((L5+L16),0)</f>
        <v>0</v>
      </c>
      <c r="M18" s="21"/>
      <c r="N18" s="21">
        <f>MAX((N5+N16),0)</f>
        <v>244.51356942019845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0.21628164940354747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2086.9746958916812</v>
      </c>
      <c r="C22" s="23">
        <f ca="1">C18*C20</f>
        <v>0</v>
      </c>
      <c r="D22" s="23">
        <f>D18*D20</f>
        <v>14880.504102868463</v>
      </c>
      <c r="E22" s="23">
        <f>E18*E20</f>
        <v>23.17675480397417</v>
      </c>
      <c r="F22" s="23">
        <f>F18*F20</f>
        <v>712.35251519457415</v>
      </c>
      <c r="G22" s="23"/>
      <c r="H22" s="23"/>
      <c r="I22" s="23"/>
      <c r="J22" s="23">
        <f>J18*J20</f>
        <v>13.998493032946596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295.26725528410202</v>
      </c>
      <c r="C30" s="39">
        <f>IF(ISERROR(B30*3.6/1000000/'E Balans VL '!Z18*100),0,B30*3.6/1000000/'E Balans VL '!Z18*100)</f>
        <v>1.9656121489558014E-2</v>
      </c>
      <c r="D30" s="238" t="s">
        <v>720</v>
      </c>
    </row>
    <row r="31" spans="1:18">
      <c r="A31" s="6" t="s">
        <v>33</v>
      </c>
      <c r="B31" s="37">
        <f>IF( ISERROR(IND_ander_ele_kWh/1000),0,IND_ander_ele_kWh/1000)</f>
        <v>1757.3032304591002</v>
      </c>
      <c r="C31" s="39">
        <f>IF(ISERROR(B31*3.6/1000000/'E Balans VL '!Z19*100),0,B31*3.6/1000000/'E Balans VL '!Z19*100)</f>
        <v>7.7894288106947138E-2</v>
      </c>
      <c r="D31" s="238" t="s">
        <v>720</v>
      </c>
    </row>
    <row r="32" spans="1:18">
      <c r="A32" s="172" t="s">
        <v>41</v>
      </c>
      <c r="B32" s="37">
        <f>IF( ISERROR(IND_voed_ele_kWh/1000),0,IND_voed_ele_kWh/1000)</f>
        <v>6677.1726548254001</v>
      </c>
      <c r="C32" s="39">
        <f>IF(ISERROR(B32*3.6/1000000/'E Balans VL '!Z20*100),0,B32*3.6/1000000/'E Balans VL '!Z20*100)</f>
        <v>0.2230367210004604</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59.354838251652403</v>
      </c>
      <c r="C35" s="39">
        <f>IF(ISERROR(B35*3.6/1000000/'E Balans VL '!Z22*100),0,B35*3.6/1000000/'E Balans VL '!Z22*100)</f>
        <v>1.1543864064108745E-2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860.23982513608291</v>
      </c>
      <c r="C37" s="39">
        <f>IF(ISERROR(B37*3.6/1000000/'E Balans VL '!Z15*100),0,B37*3.6/1000000/'E Balans VL '!Z15*100)</f>
        <v>6.3987828484582884E-3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3391.9366051350057</v>
      </c>
      <c r="C5" s="17">
        <f>'Eigen informatie GS &amp; warmtenet'!B60</f>
        <v>0</v>
      </c>
      <c r="D5" s="30">
        <f>IF(ISERROR(SUM(LB_lb_gas_kWh,LB_rest_gas_kWh,onbekend_gas_kWh)/1000),0,SUM(LB_lb_gas_kWh,LB_rest_gas_kWh,onbekend_gas_kWh)/1000)*0.902</f>
        <v>3420.4932930980649</v>
      </c>
      <c r="E5" s="17">
        <f>B17*'E Balans VL '!I25/3.6*1000000/100</f>
        <v>35.52109445330322</v>
      </c>
      <c r="F5" s="17">
        <f>B17*('E Balans VL '!L25/3.6*1000000+'E Balans VL '!N25/3.6*1000000)/100</f>
        <v>17421.52648259476</v>
      </c>
      <c r="G5" s="18"/>
      <c r="H5" s="17"/>
      <c r="I5" s="17"/>
      <c r="J5" s="17">
        <f>('E Balans VL '!D25+'E Balans VL '!E25)/3.6*1000000*landbouw!B17/100</f>
        <v>302.93034128500324</v>
      </c>
      <c r="K5" s="17"/>
      <c r="L5" s="17">
        <f>L6*(-1)</f>
        <v>0</v>
      </c>
      <c r="M5" s="17"/>
      <c r="N5" s="17">
        <f>N6*(-1)</f>
        <v>0</v>
      </c>
      <c r="O5" s="17"/>
      <c r="P5" s="17"/>
      <c r="R5" s="32"/>
    </row>
    <row r="6" spans="1:18">
      <c r="A6" s="16" t="s">
        <v>497</v>
      </c>
      <c r="B6" s="17" t="s">
        <v>212</v>
      </c>
      <c r="C6" s="17">
        <f>'lokale energieproductie'!O91+'lokale energieproductie'!O60</f>
        <v>27392.142857142859</v>
      </c>
      <c r="D6" s="311">
        <f>('lokale energieproductie'!P60+'lokale energieproductie'!P91)*(-1)</f>
        <v>-54784.285714285717</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3391.9366051350057</v>
      </c>
      <c r="C8" s="21">
        <f>C5+C6</f>
        <v>27392.142857142859</v>
      </c>
      <c r="D8" s="21">
        <f>MAX((D5+D6),0)</f>
        <v>0</v>
      </c>
      <c r="E8" s="21">
        <f>MAX((E5+E6),0)</f>
        <v>35.52109445330322</v>
      </c>
      <c r="F8" s="21">
        <f>MAX((F5+F6),0)</f>
        <v>17421.52648259476</v>
      </c>
      <c r="G8" s="21"/>
      <c r="H8" s="21"/>
      <c r="I8" s="21"/>
      <c r="J8" s="21">
        <f>MAX((J5+J6),0)</f>
        <v>302.93034128500324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0.21628164940354747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733.6136436308683</v>
      </c>
      <c r="C12" s="23">
        <f ca="1">C8*C10</f>
        <v>6509.6621848739505</v>
      </c>
      <c r="D12" s="23">
        <f>D8*D10</f>
        <v>0</v>
      </c>
      <c r="E12" s="23">
        <f>E8*E10</f>
        <v>8.0632884408998304</v>
      </c>
      <c r="F12" s="23">
        <f>F8*F10</f>
        <v>4651.5475708528011</v>
      </c>
      <c r="G12" s="23"/>
      <c r="H12" s="23"/>
      <c r="I12" s="23"/>
      <c r="J12" s="23">
        <f>J8*J10</f>
        <v>107.23734081489114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0.52208452000670702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610.94749533383128</v>
      </c>
      <c r="C26" s="248">
        <f>B26*'GWP N2O_CH4'!B5</f>
        <v>12829.897402010458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420.74550736773114</v>
      </c>
      <c r="C27" s="248">
        <f>B27*'GWP N2O_CH4'!B5</f>
        <v>8835.6556547223536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9.4149897672645189</v>
      </c>
      <c r="C28" s="248">
        <f>B28*'GWP N2O_CH4'!B4</f>
        <v>2918.646827852001</v>
      </c>
      <c r="D28" s="50"/>
    </row>
    <row r="29" spans="1:4">
      <c r="A29" s="41" t="s">
        <v>278</v>
      </c>
      <c r="B29" s="248">
        <f>B34*'ha_N2O bodem landbouw'!B4</f>
        <v>27.602987338301503</v>
      </c>
      <c r="C29" s="248">
        <f>B29*'GWP N2O_CH4'!B4</f>
        <v>8556.926074873465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4.5617561869190004E-3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2.0188300213889673E-6</v>
      </c>
      <c r="C5" s="446" t="s">
        <v>212</v>
      </c>
      <c r="D5" s="431">
        <f>SUM(D6:D11)</f>
        <v>1.1088892462045552E-5</v>
      </c>
      <c r="E5" s="431">
        <f>SUM(E6:E11)</f>
        <v>1.1049759764982362E-3</v>
      </c>
      <c r="F5" s="444" t="s">
        <v>212</v>
      </c>
      <c r="G5" s="431">
        <f>SUM(G6:G11)</f>
        <v>0.18357303930013896</v>
      </c>
      <c r="H5" s="431">
        <f>SUM(H6:H11)</f>
        <v>3.6554236786492056E-2</v>
      </c>
      <c r="I5" s="446" t="s">
        <v>212</v>
      </c>
      <c r="J5" s="446" t="s">
        <v>212</v>
      </c>
      <c r="K5" s="446" t="s">
        <v>212</v>
      </c>
      <c r="L5" s="446" t="s">
        <v>212</v>
      </c>
      <c r="M5" s="431">
        <f>SUM(M6:M11)</f>
        <v>9.6182915007479459E-3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1.3217841385582752E-6</v>
      </c>
      <c r="C6" s="432"/>
      <c r="D6" s="432">
        <f>vkm_2011_GW_PW*SUMIFS(TableVerdeelsleutelVkm[CNG],TableVerdeelsleutelVkm[Voertuigtype],"Lichte voertuigen")*SUMIFS(TableECFTransport[EnergieConsumptieFactor (PJ per km)],TableECFTransport[Index],CONCATENATE($A6,"_CNG_CNG"))</f>
        <v>5.6980577773060976E-6</v>
      </c>
      <c r="E6" s="434">
        <f>vkm_2011_GW_PW*SUMIFS(TableVerdeelsleutelVkm[LPG],TableVerdeelsleutelVkm[Voertuigtype],"Lichte voertuigen")*SUMIFS(TableECFTransport[EnergieConsumptieFactor (PJ per km)],TableECFTransport[Index],CONCATENATE($A6,"_LPG_LPG"))</f>
        <v>5.9284794917997602E-4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7.292192528209486E-2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1.9198831764254267E-2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4.0371732176050466E-3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3.9227994488998094E-2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1.3450735702567059E-5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1.6945758614088197E-3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6.9704588283069194E-7</v>
      </c>
      <c r="C8" s="432"/>
      <c r="D8" s="434">
        <f>vkm_2011_NGW_PW*SUMIFS(TableVerdeelsleutelVkm[CNG],TableVerdeelsleutelVkm[Voertuigtype],"Lichte voertuigen")*SUMIFS(TableECFTransport[EnergieConsumptieFactor (PJ per km)],TableECFTransport[Index],CONCATENATE($A8,"_CNG_CNG"))</f>
        <v>5.3908346847394557E-6</v>
      </c>
      <c r="E8" s="434">
        <f>vkm_2011_NGW_PW*SUMIFS(TableVerdeelsleutelVkm[LPG],TableVerdeelsleutelVkm[Voertuigtype],"Lichte voertuigen")*SUMIFS(TableECFTransport[EnergieConsumptieFactor (PJ per km)],TableECFTransport[Index],CONCATENATE($A8,"_LPG_LPG"))</f>
        <v>5.1212802731826022E-4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5.9747571572447561E-2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1.7338476447528194E-2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3.3822049406644979E-3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1.167554795659846E-2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3.4778390070289386E-6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5.0433748106958162E-4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0.56078611705249093</v>
      </c>
      <c r="C14" s="21"/>
      <c r="D14" s="21">
        <f t="shared" ref="D14:M14" si="0">((D5)*10^9/3600)+D12</f>
        <v>3.0802479061237649</v>
      </c>
      <c r="E14" s="21">
        <f t="shared" si="0"/>
        <v>306.93777124951004</v>
      </c>
      <c r="F14" s="21"/>
      <c r="G14" s="21">
        <f t="shared" si="0"/>
        <v>50992.510916705265</v>
      </c>
      <c r="H14" s="21">
        <f t="shared" si="0"/>
        <v>10153.954662914461</v>
      </c>
      <c r="I14" s="21"/>
      <c r="J14" s="21"/>
      <c r="K14" s="21"/>
      <c r="L14" s="21"/>
      <c r="M14" s="21">
        <f t="shared" si="0"/>
        <v>2671.7476390966513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0.21628164940354747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0.12128774635872358</v>
      </c>
      <c r="C18" s="23"/>
      <c r="D18" s="23">
        <f t="shared" ref="D18:M18" si="1">D14*D16</f>
        <v>0.6222100770370006</v>
      </c>
      <c r="E18" s="23">
        <f t="shared" si="1"/>
        <v>69.674874073638776</v>
      </c>
      <c r="F18" s="23"/>
      <c r="G18" s="23">
        <f t="shared" si="1"/>
        <v>13615.000414760307</v>
      </c>
      <c r="H18" s="23">
        <f t="shared" si="1"/>
        <v>2528.3347110657005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4.5503780439911821E-3</v>
      </c>
      <c r="H50" s="322">
        <f t="shared" si="2"/>
        <v>0</v>
      </c>
      <c r="I50" s="322">
        <f t="shared" si="2"/>
        <v>0</v>
      </c>
      <c r="J50" s="322">
        <f t="shared" si="2"/>
        <v>0</v>
      </c>
      <c r="K50" s="322">
        <f t="shared" si="2"/>
        <v>0</v>
      </c>
      <c r="L50" s="322">
        <f t="shared" si="2"/>
        <v>0</v>
      </c>
      <c r="M50" s="322">
        <f t="shared" si="2"/>
        <v>1.9396284700456192E-4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4.5503780439911821E-3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1.9396284700456192E-4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1263.9939011086617</v>
      </c>
      <c r="H54" s="21">
        <f t="shared" si="3"/>
        <v>0</v>
      </c>
      <c r="I54" s="21">
        <f t="shared" si="3"/>
        <v>0</v>
      </c>
      <c r="J54" s="21">
        <f t="shared" si="3"/>
        <v>0</v>
      </c>
      <c r="K54" s="21">
        <f t="shared" si="3"/>
        <v>0</v>
      </c>
      <c r="L54" s="21">
        <f t="shared" si="3"/>
        <v>0</v>
      </c>
      <c r="M54" s="21">
        <f t="shared" si="3"/>
        <v>53.878568612378309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0.21628164940354747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337.4863715960127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2483.1138861715217</v>
      </c>
      <c r="C6" s="1124"/>
      <c r="D6" s="1127"/>
      <c r="E6" s="1127"/>
      <c r="F6" s="1130"/>
      <c r="G6" s="1133"/>
      <c r="H6" s="1121"/>
      <c r="I6" s="1127"/>
      <c r="J6" s="1127"/>
      <c r="K6" s="1127"/>
      <c r="L6" s="1157"/>
      <c r="M6" s="559"/>
      <c r="N6" s="1169"/>
      <c r="O6" s="1170"/>
      <c r="Q6" s="557"/>
      <c r="R6" s="1154"/>
      <c r="S6" s="1154"/>
    </row>
    <row r="7" spans="1:19" s="547" customFormat="1">
      <c r="A7" s="560" t="s">
        <v>253</v>
      </c>
      <c r="B7" s="561">
        <f>N57</f>
        <v>19174.5</v>
      </c>
      <c r="C7" s="562">
        <f>B100</f>
        <v>22558.23529411765</v>
      </c>
      <c r="D7" s="563"/>
      <c r="E7" s="563">
        <f>E100</f>
        <v>0</v>
      </c>
      <c r="F7" s="564"/>
      <c r="G7" s="565"/>
      <c r="H7" s="563">
        <f>I100</f>
        <v>0</v>
      </c>
      <c r="I7" s="563">
        <f>G100+F100</f>
        <v>0</v>
      </c>
      <c r="J7" s="563">
        <f>H100+D100+C100</f>
        <v>0</v>
      </c>
      <c r="K7" s="563"/>
      <c r="L7" s="566"/>
      <c r="M7" s="567">
        <f>C7*$C$11+D7*$D$11+E7*$E$11+F7*$F$11+G7*$G$11+H7*$H$11+I7*$I$11+J7*$J$11</f>
        <v>4556.7635294117654</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21657.613886171523</v>
      </c>
      <c r="C9" s="578">
        <f t="shared" ref="C9:L9" si="0">SUM(C7:C8)</f>
        <v>22558.23529411765</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4556.7635294117654</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27392.142857142859</v>
      </c>
      <c r="C16" s="594">
        <f>B101</f>
        <v>32226.050420168071</v>
      </c>
      <c r="D16" s="595"/>
      <c r="E16" s="595">
        <f>E101</f>
        <v>0</v>
      </c>
      <c r="F16" s="596"/>
      <c r="G16" s="597"/>
      <c r="H16" s="594">
        <f>I101</f>
        <v>0</v>
      </c>
      <c r="I16" s="595">
        <f>G101+F101</f>
        <v>0</v>
      </c>
      <c r="J16" s="595">
        <f>H101+D101+C101</f>
        <v>0</v>
      </c>
      <c r="K16" s="595"/>
      <c r="L16" s="598"/>
      <c r="M16" s="599">
        <f>C16*$C$21+E16*$E$21+H16*$H$21+I16*$I$21+J16*$J$21+D16*$D$21+F16*$F$21+G16*$G$21+K16*$K$21+L16*$L$21</f>
        <v>6509.6621848739505</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27392.142857142859</v>
      </c>
      <c r="C19" s="577">
        <f>SUM(C16:C18)</f>
        <v>32226.050420168071</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6509.6621848739505</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35006</v>
      </c>
      <c r="C27" s="839">
        <v>8480</v>
      </c>
      <c r="D27" s="656" t="s">
        <v>894</v>
      </c>
      <c r="E27" s="655" t="s">
        <v>895</v>
      </c>
      <c r="F27" s="655" t="s">
        <v>896</v>
      </c>
      <c r="G27" s="655" t="s">
        <v>897</v>
      </c>
      <c r="H27" s="655" t="s">
        <v>898</v>
      </c>
      <c r="I27" s="655" t="s">
        <v>895</v>
      </c>
      <c r="J27" s="838">
        <v>40487</v>
      </c>
      <c r="K27" s="838">
        <v>39995</v>
      </c>
      <c r="L27" s="655" t="s">
        <v>899</v>
      </c>
      <c r="M27" s="655">
        <v>4261</v>
      </c>
      <c r="N27" s="655">
        <v>19174.5</v>
      </c>
      <c r="O27" s="655">
        <v>27392.142857142859</v>
      </c>
      <c r="P27" s="655">
        <v>54784.285714285717</v>
      </c>
      <c r="Q27" s="655">
        <v>0</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4261</v>
      </c>
      <c r="N57" s="613">
        <f>SUM(N27:N56)</f>
        <v>19174.5</v>
      </c>
      <c r="O57" s="613">
        <f t="shared" ref="O57:W57" si="2">SUM(O27:O56)</f>
        <v>27392.142857142859</v>
      </c>
      <c r="P57" s="613">
        <f t="shared" si="2"/>
        <v>54784.285714285717</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4261</v>
      </c>
      <c r="N60" s="618">
        <f t="shared" ref="N60:W60" si="4">SUMIF($Z$27:$Z$56,"landbouw",N27:N56)</f>
        <v>19174.5</v>
      </c>
      <c r="O60" s="618">
        <f t="shared" si="4"/>
        <v>27392.142857142859</v>
      </c>
      <c r="P60" s="618">
        <f t="shared" si="4"/>
        <v>54784.285714285717</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22558.23529411765</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32226.050420168071</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2018-06-27T09:01:32Z</dcterms:modified>
</cp:coreProperties>
</file>