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F13" i="15" l="1"/>
  <c r="D6" i="17"/>
  <c r="L68" i="14"/>
  <c r="L69" s="1"/>
  <c r="N16" i="16"/>
  <c r="O80" i="14"/>
  <c r="J8" i="18"/>
  <c r="H68" i="14"/>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E31" i="20"/>
  <c r="F43" i="14" s="1"/>
  <c r="H14" i="22"/>
  <c r="F8" i="17"/>
  <c r="G22" i="14" s="1"/>
  <c r="B100" i="18"/>
  <c r="C7" s="1"/>
  <c r="D67" i="14" s="1"/>
  <c r="E9"/>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H19" i="18"/>
  <c r="C9"/>
  <c r="H9"/>
  <c r="L21" i="48"/>
  <c r="D7"/>
  <c r="D24" s="1"/>
  <c r="M28"/>
  <c r="C100" i="18"/>
  <c r="I16"/>
  <c r="L8" i="17"/>
  <c r="L7" i="48" s="1"/>
  <c r="L24" s="1"/>
  <c r="L5" i="17"/>
  <c r="B35" i="13"/>
  <c r="J12" i="17"/>
  <c r="K48" i="14" s="1"/>
  <c r="F100" i="18"/>
  <c r="I7" s="1"/>
  <c r="E19"/>
  <c r="F81" i="14"/>
  <c r="D16" i="15"/>
  <c r="D12" i="17"/>
  <c r="E48" i="14" s="1"/>
  <c r="D100" i="18"/>
  <c r="G100"/>
  <c r="G31" i="20"/>
  <c r="H43" i="14" s="1"/>
  <c r="E100" i="18"/>
  <c r="E7" s="1"/>
  <c r="H100"/>
  <c r="O78" i="14"/>
  <c r="L12" i="17"/>
  <c r="M48" i="14" s="1"/>
  <c r="D81"/>
  <c r="O79"/>
  <c r="M23" i="48"/>
  <c r="L27"/>
  <c r="B9" i="18"/>
  <c r="M31" i="20"/>
  <c r="N43" i="14" s="1"/>
  <c r="M12" i="22"/>
  <c r="O18" i="16"/>
  <c r="B34" i="13"/>
  <c r="K22" i="14"/>
  <c r="M13"/>
  <c r="L8" i="48"/>
  <c r="L25" s="1"/>
  <c r="L22" i="16"/>
  <c r="M39" i="14" s="1"/>
  <c r="J19" i="18"/>
  <c r="C7" i="48"/>
  <c r="D22" i="14"/>
  <c r="M22" i="48"/>
  <c r="B36" i="13"/>
  <c r="J7" i="18"/>
  <c r="O68" i="14"/>
  <c r="C68"/>
  <c r="F22"/>
  <c r="E8" i="17"/>
  <c r="D69" i="14"/>
  <c r="D18" i="16"/>
  <c r="D22" s="1"/>
  <c r="E39" i="14" s="1"/>
  <c r="M22"/>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7" i="48"/>
  <c r="E24" s="1"/>
  <c r="E12" i="17"/>
  <c r="F48" i="14" s="1"/>
  <c r="C5" i="48"/>
  <c r="J78" i="14" l="1"/>
  <c r="I19" i="18"/>
  <c r="C14" i="48"/>
  <c r="F67" i="14"/>
  <c r="E9" i="18"/>
  <c r="O22" i="14"/>
  <c r="N12" i="17"/>
  <c r="O48" i="14" s="1"/>
  <c r="N7" i="48"/>
  <c r="N24" s="1"/>
  <c r="E13" i="14"/>
  <c r="E15" s="1"/>
  <c r="E23" s="1"/>
  <c r="O81"/>
  <c r="B17" i="6" s="1"/>
  <c r="Q13" i="48"/>
  <c r="D8"/>
  <c r="D25" s="1"/>
  <c r="D31" s="1"/>
  <c r="R22" i="14"/>
  <c r="E16" i="15"/>
  <c r="E20" s="1"/>
  <c r="F36" i="14" s="1"/>
  <c r="K67"/>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F69" i="14" l="1"/>
  <c r="O67"/>
  <c r="Q7" i="48"/>
  <c r="M18" i="22"/>
  <c r="N45" i="14" s="1"/>
  <c r="M9" i="48"/>
  <c r="M14" s="1"/>
  <c r="J81" i="14"/>
  <c r="C78"/>
  <c r="C81" s="1"/>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<sst xmlns="http://schemas.openxmlformats.org/spreadsheetml/2006/main" count="2047" uniqueCount="907">
  <si>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</si>
  <si>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</si>
  <si>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</si>
  <si>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</si>
  <si>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</si>
  <si>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</si>
  <si>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</si>
  <si>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</si>
  <si>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</si>
  <si>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</si>
  <si>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</si>
  <si>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</si>
  <si>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</si>
  <si>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</si>
  <si>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</si>
  <si>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</si>
  <si>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</si>
  <si>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</si>
  <si>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</si>
  <si>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</si>
  <si>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</si>
  <si>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</si>
  <si>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</si>
  <si>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</si>
  <si>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</si>
  <si>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</si>
  <si>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</si>
  <si>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</si>
  <si>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</si>
  <si>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</si>
  <si>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</si>
  <si>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</si>
  <si>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</si>
  <si>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</si>
  <si>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</si>
  <si>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</si>
  <si>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</si>
  <si>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</si>
  <si>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</si>
  <si>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</si>
  <si>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</si>
  <si>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</si>
  <si>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</si>
  <si>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</si>
  <si>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</si>
  <si>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</si>
  <si>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</si>
  <si>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</si>
  <si>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</si>
  <si>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</si>
  <si>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</si>
  <si>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</si>
  <si>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</si>
  <si>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</si>
  <si>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</si>
  <si>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</si>
  <si>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</si>
  <si>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</si>
  <si>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</si>
  <si>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</si>
  <si>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</si>
  <si>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</si>
  <si>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</si>
  <si>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</si>
  <si>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</si>
  <si>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</si>
  <si>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</si>
  <si>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</si>
  <si>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</si>
  <si>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</si>
  <si>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</si>
  <si>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</si>
  <si>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</si>
  <si>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</si>
  <si>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</si>
  <si>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</si>
  <si>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</si>
  <si>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</si>
  <si>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</si>
  <si>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</si>
  <si>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</si>
  <si>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</si>
  <si>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</si>
  <si>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</si>
  <si>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</si>
  <si>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</si>
  <si>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</si>
  <si>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</si>
  <si>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</si>
  <si>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</si>
  <si>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</si>
  <si>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</si>
  <si>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</si>
  <si>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</si>
  <si>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</si>
  <si>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</si>
  <si>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</si>
  <si>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</si>
  <si>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</si>
  <si>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</si>
  <si>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</si>
  <si>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</si>
  <si>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</si>
  <si>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</si>
  <si>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</si>
  <si>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</si>
  <si>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</si>
  <si>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</si>
  <si>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</si>
  <si>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</si>
  <si>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</si>
  <si>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</si>
  <si>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</si>
  <si>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</si>
  <si>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</si>
  <si>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</si>
  <si>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</si>
  <si>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</si>
  <si>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</si>
  <si>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</si>
  <si>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</si>
  <si>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</si>
  <si>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</si>
  <si>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</si>
  <si>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</si>
  <si>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</si>
  <si>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</si>
  <si>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</si>
  <si>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</si>
  <si>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</si>
  <si>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</si>
  <si>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</si>
  <si>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</si>
  <si>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</si>
  <si>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</si>
  <si>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</si>
  <si>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</si>
  <si>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</si>
  <si>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</si>
  <si>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</si>
  <si>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</si>
  <si>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</si>
  <si>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</si>
  <si>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</si>
  <si>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</si>
  <si>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</si>
  <si>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</si>
  <si>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</si>
  <si>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</si>
  <si>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</si>
  <si>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</si>
  <si>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</si>
  <si>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</si>
  <si>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</si>
  <si>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</si>
  <si>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</si>
  <si>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</si>
  <si>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</si>
  <si>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</si>
  <si>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</si>
  <si>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</si>
  <si>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</si>
  <si>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</si>
  <si>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</si>
  <si>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</si>
  <si>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</si>
  <si>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</si>
  <si>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</si>
  <si>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</si>
  <si>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</si>
  <si>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</si>
  <si>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</si>
  <si>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</si>
  <si>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</si>
  <si>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</si>
  <si>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</si>
  <si>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</si>
  <si>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</si>
  <si>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</si>
  <si>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</si>
  <si>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</si>
  <si>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</si>
  <si>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</si>
  <si>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</si>
  <si>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</si>
  <si>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</si>
  <si>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</si>
  <si>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</si>
  <si>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</si>
  <si>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</si>
  <si>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</si>
  <si>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</si>
  <si>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</si>
  <si>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</si>
  <si>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</si>
  <si>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</si>
  <si>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</si>
  <si>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</si>
  <si>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</si>
  <si>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</si>
  <si>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</si>
  <si>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</si>
  <si>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</si>
  <si>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</si>
  <si>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</si>
  <si>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</si>
  <si>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</si>
  <si>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</si>
  <si>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</si>
  <si>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</si>
  <si>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</si>
  <si>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</si>
  <si>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</si>
  <si>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</si>
  <si>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</si>
  <si>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</si>
  <si>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</si>
  <si>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</si>
  <si>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</si>
  <si>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</si>
  <si>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</si>
  <si>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</si>
  <si>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</si>
  <si>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</si>
  <si>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</si>
  <si>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</si>
  <si>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</si>
  <si>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</si>
  <si>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</si>
  <si>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</si>
  <si>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</si>
  <si>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</si>
  <si>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</si>
  <si>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</si>
  <si>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</si>
  <si>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</si>
  <si>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</si>
  <si>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</si>
  <si>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</si>
  <si>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</si>
  <si>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</si>
  <si>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</si>
  <si>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</si>
  <si>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</si>
  <si>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</si>
  <si>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</si>
  <si>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</si>
  <si>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</si>
  <si>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</si>
  <si>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</si>
  <si>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</si>
  <si>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</si>
  <si>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</si>
  <si>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</si>
  <si>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</si>
  <si>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</si>
  <si>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</si>
  <si>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</si>
  <si>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</si>
  <si>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</si>
  <si>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</si>
  <si>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</si>
  <si>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</si>
  <si>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</si>
  <si>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</si>
  <si>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</si>
  <si>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</si>
  <si>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</si>
  <si>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</si>
  <si>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</si>
  <si>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</si>
  <si>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</si>
  <si>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</si>
  <si>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</si>
  <si>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</si>
  <si>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</si>
  <si>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</si>
  <si>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</si>
  <si>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</si>
  <si>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</si>
  <si>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</si>
  <si>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</si>
  <si>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</si>
  <si>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</si>
  <si>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</si>
  <si>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</si>
  <si>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</si>
  <si>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</si>
  <si>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</si>
  <si>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</si>
  <si>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</si>
  <si>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</si>
  <si>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</si>
  <si>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</si>
  <si>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</si>
  <si>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</si>
  <si>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</si>
  <si>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</si>
  <si>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</si>
  <si>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</si>
  <si>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</si>
  <si>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</si>
  <si>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</si>
  <si>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</si>
  <si>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</si>
  <si>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</si>
  <si>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</si>
  <si>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</si>
  <si>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</si>
  <si>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</si>
  <si>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</si>
  <si>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</si>
  <si>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</si>
  <si>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</si>
  <si>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</si>
  <si>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</si>
  <si>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</si>
  <si>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</si>
  <si>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</si>
  <si>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</si>
  <si>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</si>
  <si>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</si>
  <si>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</si>
  <si>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</si>
  <si>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</si>
  <si>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</si>
  <si>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</si>
  <si>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</si>
  <si>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</si>
  <si>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</si>
  <si>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</si>
  <si>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</si>
  <si>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</si>
  <si>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</si>
  <si>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</si>
  <si>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</si>
  <si>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</si>
  <si>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</si>
  <si>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</si>
  <si>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</si>
  <si>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</si>
  <si>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</si>
  <si>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</si>
  <si>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</si>
  <si>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</si>
  <si>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</si>
  <si>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</si>
  <si>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</si>
  <si>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</si>
  <si>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</si>
  <si>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</si>
  <si>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</si>
  <si>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</si>
  <si>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</si>
  <si>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</si>
  <si>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</si>
  <si>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</si>
  <si>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</si>
  <si>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</si>
  <si>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</si>
  <si>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</si>
  <si>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</si>
  <si>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</si>
  <si>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</si>
  <si>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</si>
  <si>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</si>
  <si>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</si>
  <si>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</si>
  <si>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</si>
  <si>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</si>
  <si>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</si>
  <si>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</si>
  <si>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</si>
  <si>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</si>
  <si>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</si>
  <si>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</si>
  <si>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</si>
  <si>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</si>
  <si>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</si>
  <si>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</si>
  <si>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</si>
  <si>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</si>
  <si>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</si>
  <si>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</si>
  <si>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</si>
  <si>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</si>
  <si>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</si>
  <si>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</si>
  <si>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</si>
  <si>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</si>
  <si>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</si>
  <si>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</si>
  <si>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</si>
  <si>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</si>
  <si>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</si>
  <si>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</si>
  <si>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</si>
  <si>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</si>
  <si>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</si>
  <si>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</si>
  <si>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</si>
  <si>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</si>
  <si>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</si>
  <si>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</si>
  <si>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</si>
  <si>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</si>
  <si>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</si>
  <si>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</si>
  <si>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</si>
  <si>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</si>
  <si>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</si>
  <si>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</si>
  <si>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</si>
  <si>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</si>
  <si>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</si>
  <si>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</si>
  <si>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</si>
  <si>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</si>
  <si>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</si>
  <si>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</si>
  <si>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</si>
  <si>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</si>
  <si>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</si>
  <si>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</si>
  <si>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</si>
  <si>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</si>
  <si>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</si>
  <si>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</si>
  <si>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</si>
  <si>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</si>
  <si>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</si>
  <si>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</si>
  <si>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</si>
  <si>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</si>
  <si>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</si>
  <si>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</si>
  <si>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</si>
  <si>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</si>
  <si>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</si>
  <si>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</si>
  <si>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</si>
  <si>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</si>
  <si>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</si>
  <si>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</si>
  <si>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</si>
  <si>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</si>
  <si>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</si>
  <si>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</si>
  <si>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</si>
  <si>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</si>
  <si>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</si>
  <si>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</si>
  <si>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</si>
  <si>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</si>
  <si>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</si>
  <si>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</si>
  <si>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</si>
  <si>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</si>
  <si>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</si>
  <si>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</si>
  <si>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</si>
  <si>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</si>
  <si>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</si>
  <si>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</si>
  <si>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</si>
  <si>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</si>
  <si>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</si>
  <si>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</si>
  <si>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</si>
  <si>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</si>
  <si>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</si>
  <si>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</si>
  <si>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</si>
  <si>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</si>
  <si>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</si>
  <si>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</si>
  <si>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</si>
  <si>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</si>
  <si>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</si>
  <si>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</si>
  <si>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</si>
  <si>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</si>
  <si>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</si>
  <si>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</si>
  <si>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</si>
  <si>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</si>
  <si>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</si>
  <si>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</si>
  <si>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</si>
  <si>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</si>
  <si>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</si>
  <si>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</si>
  <si>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</si>
  <si>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</si>
  <si>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</si>
  <si>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</si>
  <si>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</si>
  <si>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</si>
  <si>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</si>
  <si>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</si>
  <si>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</si>
  <si>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</si>
  <si>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</si>
  <si>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</si>
  <si>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</si>
  <si>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</si>
  <si>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</si>
  <si>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</si>
  <si>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</si>
  <si>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</si>
  <si>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</si>
  <si>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</si>
  <si>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</si>
  <si>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</si>
  <si>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</si>
  <si>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</si>
  <si>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</si>
  <si>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</si>
  <si>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</si>
  <si>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</si>
  <si>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</si>
  <si>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</si>
  <si>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</si>
  <si>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</si>
  <si>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</si>
  <si>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</si>
  <si>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</si>
  <si>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</si>
  <si>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</si>
  <si>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</si>
  <si>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</si>
  <si>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</si>
  <si>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</si>
  <si>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</si>
  <si>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</si>
  <si>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</si>
  <si>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</si>
  <si>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</si>
  <si>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</si>
  <si>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</si>
  <si>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</si>
  <si>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</si>
  <si>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</si>
  <si>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</si>
  <si>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</si>
  <si>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</si>
  <si>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</si>
  <si>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</si>
  <si>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</si>
  <si>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</si>
  <si>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</si>
  <si>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</si>
  <si>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</si>
  <si>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</si>
  <si>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</si>
  <si>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</si>
  <si>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</si>
  <si>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</si>
  <si>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</si>
  <si>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</si>
  <si>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</si>
  <si>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</si>
  <si>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</si>
  <si>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</si>
  <si>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</si>
  <si>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</si>
  <si>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</si>
  <si>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</si>
  <si>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</si>
  <si>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</si>
  <si>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</si>
  <si>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</si>
  <si>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</si>
  <si>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</si>
  <si>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</si>
  <si>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</si>
  <si>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</si>
  <si>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</si>
  <si>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</si>
  <si>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</si>
  <si>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</si>
  <si>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</si>
  <si>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</si>
  <si>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</si>
  <si>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</si>
  <si>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</si>
  <si>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</si>
  <si>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</si>
  <si>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</si>
  <si>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</si>
  <si>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</si>
  <si>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</si>
  <si>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</si>
  <si>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</si>
  <si>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</si>
  <si>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</si>
  <si>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</si>
  <si>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</si>
  <si>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</si>
  <si>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</si>
  <si>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</si>
  <si>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</si>
  <si>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</si>
  <si>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</si>
  <si>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</si>
  <si>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</si>
  <si>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</si>
  <si>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</si>
  <si>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</si>
  <si>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</si>
  <si>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</si>
  <si>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</si>
  <si>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</si>
  <si>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</si>
  <si>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</si>
  <si>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</si>
  <si>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</si>
  <si>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</si>
  <si>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</si>
  <si>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</si>
  <si>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</si>
  <si>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</si>
  <si>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</si>
  <si>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</si>
  <si>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</si>
  <si>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</si>
  <si>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</si>
  <si>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</si>
  <si>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</si>
  <si>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</si>
  <si>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</si>
  <si>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</si>
  <si>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</si>
  <si>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</si>
  <si>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</si>
  <si>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</si>
  <si>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</si>
  <si>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</si>
  <si>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</si>
  <si>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</si>
  <si>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</si>
  <si>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</si>
  <si>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</si>
  <si>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</si>
  <si>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</si>
  <si>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</si>
  <si>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</si>
  <si>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</si>
  <si>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</si>
  <si>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</si>
  <si>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</si>
  <si>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</si>
  <si>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</si>
  <si>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</si>
  <si>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</si>
  <si>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</si>
  <si>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</si>
  <si>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</si>
  <si>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</si>
  <si>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</si>
  <si>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</si>
  <si>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</si>
  <si>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</si>
  <si>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</si>
  <si>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</si>
  <si>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</si>
  <si>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</si>
  <si>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</si>
  <si>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</si>
  <si>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</si>
  <si>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</si>
  <si>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</si>
  <si>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</si>
  <si>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</si>
  <si>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</si>
  <si>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</si>
  <si>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</si>
  <si>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</si>
  <si>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</si>
  <si>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</si>
  <si>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</si>
  <si>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</si>
  <si>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</si>
  <si>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</si>
  <si>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</si>
  <si>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</si>
  <si>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</si>
  <si>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</si>
  <si>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</si>
  <si>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</si>
  <si>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</si>
  <si>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</si>
  <si>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</si>
  <si>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</si>
  <si>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</si>
  <si>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</si>
  <si>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</si>
  <si>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</si>
  <si>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</si>
  <si>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</si>
  <si>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</si>
  <si>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</si>
  <si>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</si>
  <si>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</si>
  <si>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</si>
  <si>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</si>
  <si>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</si>
  <si>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</si>
  <si>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</si>
  <si>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</si>
  <si>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</si>
  <si>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</si>
  <si>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</si>
  <si>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</si>
  <si>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</si>
  <si>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</si>
  <si>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</si>
  <si>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</si>
  <si>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</si>
  <si>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</si>
  <si>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</si>
  <si>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</si>
  <si>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</si>
  <si>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</si>
  <si>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</si>
  <si>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</si>
  <si>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</si>
  <si>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</si>
  <si>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</si>
  <si>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</si>
  <si>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</si>
  <si>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</si>
  <si>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</si>
  <si>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</si>
  <si>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</si>
  <si>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</si>
  <si>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</si>
  <si>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</si>
  <si>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</si>
  <si>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</si>
  <si>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</si>
  <si>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</si>
  <si>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</si>
  <si>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</si>
  <si>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</si>
  <si>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</si>
  <si>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</si>
  <si>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</si>
  <si>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</si>
  <si>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</si>
  <si>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</si>
  <si>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</si>
  <si>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</si>
  <si>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</si>
  <si>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</si>
  <si>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</si>
  <si>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</si>
  <si>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</si>
  <si>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</si>
  <si>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</si>
  <si>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</si>
  <si>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</si>
  <si>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</si>
  <si>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</si>
  <si>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</si>
  <si>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</si>
  <si>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</si>
  <si>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</si>
  <si>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</si>
  <si>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</si>
  <si>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</si>
  <si>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</si>
  <si>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</si>
  <si>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</si>
  <si>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</si>
  <si>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</si>
  <si>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</si>
  <si>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</si>
  <si>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</si>
  <si>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</si>
  <si>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</si>
  <si>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</si>
  <si>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</si>
  <si>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</si>
  <si>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</si>
  <si>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</si>
  <si>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</si>
  <si>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</si>
  <si>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</si>
  <si>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</si>
  <si>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</si>
  <si>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</si>
  <si>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</si>
  <si>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</si>
  <si>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</si>
  <si>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</si>
  <si>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</si>
  <si>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</si>
  <si>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</si>
  <si>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</si>
  <si>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</si>
  <si>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</si>
  <si>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</si>
  <si>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</si>
  <si>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</si>
  <si>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</si>
  <si>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</si>
  <si>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</si>
  <si>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</si>
  <si>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</si>
  <si>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</si>
  <si>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</si>
  <si>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</si>
  <si>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</si>
  <si>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</si>
  <si>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</si>
  <si>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</si>
  <si>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</si>
  <si>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</si>
  <si>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</si>
  <si>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</si>
  <si>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</si>
  <si>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</si>
  <si>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</si>
  <si>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</si>
  <si>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</si>
  <si>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</si>
  <si>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</si>
  <si>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</si>
  <si>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</si>
  <si>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</si>
  <si>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</si>
  <si>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</si>
  <si>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</si>
  <si>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</si>
  <si>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</si>
  <si>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</si>
  <si>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</si>
  <si>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</si>
  <si>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</si>
  <si>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</si>
  <si>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</si>
  <si>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</si>
  <si>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</si>
  <si>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</si>
  <si>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</si>
  <si>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</si>
  <si>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</si>
  <si>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</si>
  <si>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</si>
  <si>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</si>
  <si>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</si>
  <si>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</si>
  <si>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</si>
  <si>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</si>
  <si>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</si>
  <si>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</si>
  <si>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</si>
  <si>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</si>
  <si>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</si>
  <si>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</si>
  <si>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</si>
  <si>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</si>
  <si>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</si>
  <si>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</si>
  <si>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</si>
  <si>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</si>
  <si>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</si>
  <si>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</si>
  <si>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</si>
  <si>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</si>
  <si>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</si>
  <si>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</si>
  <si>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</si>
  <si>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</si>
  <si>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</si>
  <si>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</si>
  <si>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</si>
  <si>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</si>
  <si>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</si>
  <si>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</si>
  <si>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</si>
  <si>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</si>
  <si>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</si>
  <si>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</si>
  <si>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35005</t>
  </si>
  <si>
    <t>GISTEL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</si>
  <si>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</si>
  <si>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</si>
  <si>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</si>
  <si>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</si>
  <si>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</si>
  <si>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</si>
  <si>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</si>
  <si>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Ivaco cvba</t>
  </si>
  <si>
    <t>Muizeveld 7, 8480 Eernegem</t>
  </si>
  <si>
    <t>WKK-0129 Ivaco</t>
  </si>
  <si>
    <t>interne verbrandingsmotor</t>
  </si>
  <si>
    <t>WKK interne verbrandinsgmotor (vloeibaar)</t>
  </si>
  <si>
    <t>Bazelaar 1, 8470 Gistel</t>
  </si>
  <si>
    <t>eilandwerking</t>
  </si>
  <si>
    <t>A.K. Gistel bvba</t>
  </si>
  <si>
    <t>Nieuwpoortsesteenweg 195 B, 8470 Gistel</t>
  </si>
  <si>
    <t>BMS-0031 A.K. Gistel Plantenolie</t>
  </si>
  <si>
    <t>biomassa uit land- of bosbouw</t>
  </si>
  <si>
    <t>niet WKK interne verbrandingsmotor (vloeibaar)</t>
  </si>
  <si>
    <t>Infrax 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</si>
</sst>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35005</v>
      </c>
      <c r="B6" s="396"/>
      <c r="C6" s="397"/>
    </row>
    <row r="7" spans="1:7" s="394" customFormat="1" ht="15.75" customHeight="1">
      <c r="A7" s="398" t="str">
        <f>txtMunicipality</f>
        <v>GISTEL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35005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4789</v>
      </c>
      <c r="C9" s="336">
        <v>5156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3168</v>
      </c>
    </row>
    <row r="15" spans="1:6">
      <c r="A15" s="1194" t="s">
        <v>185</v>
      </c>
      <c r="B15" s="333">
        <v>38</v>
      </c>
    </row>
    <row r="16" spans="1:6">
      <c r="A16" s="1194" t="s">
        <v>6</v>
      </c>
      <c r="B16" s="333">
        <v>1396</v>
      </c>
    </row>
    <row r="17" spans="1:6">
      <c r="A17" s="1194" t="s">
        <v>7</v>
      </c>
      <c r="B17" s="333">
        <v>791</v>
      </c>
    </row>
    <row r="18" spans="1:6">
      <c r="A18" s="1194" t="s">
        <v>8</v>
      </c>
      <c r="B18" s="333">
        <v>1410</v>
      </c>
    </row>
    <row r="19" spans="1:6">
      <c r="A19" s="1194" t="s">
        <v>9</v>
      </c>
      <c r="B19" s="333">
        <v>1335</v>
      </c>
    </row>
    <row r="20" spans="1:6">
      <c r="A20" s="1194" t="s">
        <v>10</v>
      </c>
      <c r="B20" s="333">
        <v>1010</v>
      </c>
    </row>
    <row r="21" spans="1:6">
      <c r="A21" s="1194" t="s">
        <v>11</v>
      </c>
      <c r="B21" s="333">
        <v>8231</v>
      </c>
    </row>
    <row r="22" spans="1:6">
      <c r="A22" s="1194" t="s">
        <v>12</v>
      </c>
      <c r="B22" s="333">
        <v>16312</v>
      </c>
    </row>
    <row r="23" spans="1:6">
      <c r="A23" s="1194" t="s">
        <v>13</v>
      </c>
      <c r="B23" s="333">
        <v>260</v>
      </c>
    </row>
    <row r="24" spans="1:6">
      <c r="A24" s="1194" t="s">
        <v>14</v>
      </c>
      <c r="B24" s="333">
        <v>17</v>
      </c>
    </row>
    <row r="25" spans="1:6">
      <c r="A25" s="1194" t="s">
        <v>15</v>
      </c>
      <c r="B25" s="333">
        <v>1792</v>
      </c>
    </row>
    <row r="26" spans="1:6">
      <c r="A26" s="1194" t="s">
        <v>16</v>
      </c>
      <c r="B26" s="333">
        <v>266</v>
      </c>
    </row>
    <row r="27" spans="1:6">
      <c r="A27" s="1194" t="s">
        <v>17</v>
      </c>
      <c r="B27" s="333">
        <v>0</v>
      </c>
    </row>
    <row r="28" spans="1:6">
      <c r="A28" s="1194" t="s">
        <v>18</v>
      </c>
      <c r="B28" s="333">
        <v>69474</v>
      </c>
    </row>
    <row r="29" spans="1:6">
      <c r="A29" s="1194" t="s">
        <v>888</v>
      </c>
      <c r="B29" s="333">
        <v>37</v>
      </c>
    </row>
    <row r="30" spans="1:6">
      <c r="A30" s="1190" t="s">
        <v>889</v>
      </c>
      <c r="B30" s="1190">
        <v>18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7</v>
      </c>
      <c r="F36" s="333">
        <v>78603</v>
      </c>
    </row>
    <row r="37" spans="1:6">
      <c r="A37" s="1194" t="s">
        <v>25</v>
      </c>
      <c r="B37" s="1194" t="s">
        <v>28</v>
      </c>
      <c r="C37" s="333">
        <v>0</v>
      </c>
      <c r="D37" s="333">
        <v>0</v>
      </c>
      <c r="E37" s="333">
        <v>0</v>
      </c>
      <c r="F37" s="333">
        <v>0</v>
      </c>
    </row>
    <row r="38" spans="1:6">
      <c r="A38" s="1194" t="s">
        <v>25</v>
      </c>
      <c r="B38" s="1194" t="s">
        <v>29</v>
      </c>
      <c r="C38" s="333">
        <v>1</v>
      </c>
      <c r="D38" s="333">
        <v>700359</v>
      </c>
      <c r="E38" s="333">
        <v>1</v>
      </c>
      <c r="F38" s="333">
        <v>60375</v>
      </c>
    </row>
    <row r="39" spans="1:6">
      <c r="A39" s="1194" t="s">
        <v>30</v>
      </c>
      <c r="B39" s="1194" t="s">
        <v>31</v>
      </c>
      <c r="C39" s="333">
        <v>3430</v>
      </c>
      <c r="D39" s="333">
        <v>58988289</v>
      </c>
      <c r="E39" s="333">
        <v>4753</v>
      </c>
      <c r="F39" s="333">
        <v>22692256</v>
      </c>
    </row>
    <row r="40" spans="1:6">
      <c r="A40" s="1194" t="s">
        <v>30</v>
      </c>
      <c r="B40" s="1194" t="s">
        <v>29</v>
      </c>
      <c r="C40" s="333">
        <v>0</v>
      </c>
      <c r="D40" s="333">
        <v>0</v>
      </c>
      <c r="E40" s="333">
        <v>0</v>
      </c>
      <c r="F40" s="333">
        <v>0</v>
      </c>
    </row>
    <row r="41" spans="1:6">
      <c r="A41" s="1194" t="s">
        <v>32</v>
      </c>
      <c r="B41" s="1194" t="s">
        <v>33</v>
      </c>
      <c r="C41" s="333">
        <v>32</v>
      </c>
      <c r="D41" s="333">
        <v>4736947</v>
      </c>
      <c r="E41" s="333">
        <v>92</v>
      </c>
      <c r="F41" s="333">
        <v>776388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628974</v>
      </c>
      <c r="E44" s="333">
        <v>11</v>
      </c>
      <c r="F44" s="333">
        <v>477827</v>
      </c>
    </row>
    <row r="45" spans="1:6">
      <c r="A45" s="1194" t="s">
        <v>32</v>
      </c>
      <c r="B45" s="1194" t="s">
        <v>37</v>
      </c>
      <c r="C45" s="333">
        <v>4</v>
      </c>
      <c r="D45" s="333">
        <v>688092</v>
      </c>
      <c r="E45" s="333">
        <v>4</v>
      </c>
      <c r="F45" s="333">
        <v>1098351</v>
      </c>
    </row>
    <row r="46" spans="1:6">
      <c r="A46" s="1194" t="s">
        <v>32</v>
      </c>
      <c r="B46" s="1194" t="s">
        <v>38</v>
      </c>
      <c r="C46" s="333">
        <v>0</v>
      </c>
      <c r="D46" s="333">
        <v>0</v>
      </c>
      <c r="E46" s="333">
        <v>0</v>
      </c>
      <c r="F46" s="333">
        <v>0</v>
      </c>
    </row>
    <row r="47" spans="1:6">
      <c r="A47" s="1194" t="s">
        <v>32</v>
      </c>
      <c r="B47" s="1194" t="s">
        <v>39</v>
      </c>
      <c r="C47" s="333">
        <v>5</v>
      </c>
      <c r="D47" s="333">
        <v>383934</v>
      </c>
      <c r="E47" s="333">
        <v>5</v>
      </c>
      <c r="F47" s="333">
        <v>264107</v>
      </c>
    </row>
    <row r="48" spans="1:6">
      <c r="A48" s="1194" t="s">
        <v>32</v>
      </c>
      <c r="B48" s="1194" t="s">
        <v>29</v>
      </c>
      <c r="C48" s="333">
        <v>1</v>
      </c>
      <c r="D48" s="333">
        <v>18918</v>
      </c>
      <c r="E48" s="333">
        <v>2</v>
      </c>
      <c r="F48" s="333">
        <v>9570</v>
      </c>
    </row>
    <row r="49" spans="1:6">
      <c r="A49" s="1194" t="s">
        <v>32</v>
      </c>
      <c r="B49" s="1194" t="s">
        <v>40</v>
      </c>
      <c r="C49" s="333">
        <v>0</v>
      </c>
      <c r="D49" s="333">
        <v>0</v>
      </c>
      <c r="E49" s="333">
        <v>0</v>
      </c>
      <c r="F49" s="333">
        <v>0</v>
      </c>
    </row>
    <row r="50" spans="1:6">
      <c r="A50" s="1194" t="s">
        <v>32</v>
      </c>
      <c r="B50" s="1194" t="s">
        <v>41</v>
      </c>
      <c r="C50" s="333">
        <v>8</v>
      </c>
      <c r="D50" s="333">
        <v>663317</v>
      </c>
      <c r="E50" s="333">
        <v>12</v>
      </c>
      <c r="F50" s="333">
        <v>336152</v>
      </c>
    </row>
    <row r="51" spans="1:6">
      <c r="A51" s="1194" t="s">
        <v>42</v>
      </c>
      <c r="B51" s="1194" t="s">
        <v>43</v>
      </c>
      <c r="C51" s="333">
        <v>6</v>
      </c>
      <c r="D51" s="333">
        <v>1237720</v>
      </c>
      <c r="E51" s="333">
        <v>76</v>
      </c>
      <c r="F51" s="333">
        <v>2751689</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46</v>
      </c>
      <c r="F54" s="333">
        <v>894570</v>
      </c>
    </row>
    <row r="55" spans="1:6">
      <c r="A55" s="1194" t="s">
        <v>46</v>
      </c>
      <c r="B55" s="1194" t="s">
        <v>29</v>
      </c>
      <c r="C55" s="333">
        <v>0</v>
      </c>
      <c r="D55" s="333">
        <v>0</v>
      </c>
      <c r="E55" s="333">
        <v>0</v>
      </c>
      <c r="F55" s="333">
        <v>0</v>
      </c>
    </row>
    <row r="56" spans="1:6">
      <c r="A56" s="1194" t="s">
        <v>48</v>
      </c>
      <c r="B56" s="1194" t="s">
        <v>29</v>
      </c>
      <c r="C56" s="333">
        <v>25</v>
      </c>
      <c r="D56" s="333">
        <v>1118108</v>
      </c>
      <c r="E56" s="333">
        <v>112</v>
      </c>
      <c r="F56" s="333">
        <v>1053078</v>
      </c>
    </row>
    <row r="57" spans="1:6">
      <c r="A57" s="1194" t="s">
        <v>49</v>
      </c>
      <c r="B57" s="1194" t="s">
        <v>50</v>
      </c>
      <c r="C57" s="333">
        <v>29</v>
      </c>
      <c r="D57" s="333">
        <v>1316380</v>
      </c>
      <c r="E57" s="333">
        <v>67</v>
      </c>
      <c r="F57" s="333">
        <v>2168005</v>
      </c>
    </row>
    <row r="58" spans="1:6">
      <c r="A58" s="1194" t="s">
        <v>49</v>
      </c>
      <c r="B58" s="1194" t="s">
        <v>51</v>
      </c>
      <c r="C58" s="333">
        <v>4</v>
      </c>
      <c r="D58" s="333">
        <v>1667912</v>
      </c>
      <c r="E58" s="333">
        <v>15</v>
      </c>
      <c r="F58" s="333">
        <v>507731</v>
      </c>
    </row>
    <row r="59" spans="1:6">
      <c r="A59" s="1194" t="s">
        <v>49</v>
      </c>
      <c r="B59" s="1194" t="s">
        <v>52</v>
      </c>
      <c r="C59" s="333">
        <v>62</v>
      </c>
      <c r="D59" s="333">
        <v>2170018</v>
      </c>
      <c r="E59" s="333">
        <v>177</v>
      </c>
      <c r="F59" s="333">
        <v>6336875</v>
      </c>
    </row>
    <row r="60" spans="1:6">
      <c r="A60" s="1194" t="s">
        <v>49</v>
      </c>
      <c r="B60" s="1194" t="s">
        <v>53</v>
      </c>
      <c r="C60" s="333">
        <v>25</v>
      </c>
      <c r="D60" s="333">
        <v>1274027</v>
      </c>
      <c r="E60" s="333">
        <v>40</v>
      </c>
      <c r="F60" s="333">
        <v>689865</v>
      </c>
    </row>
    <row r="61" spans="1:6">
      <c r="A61" s="1194" t="s">
        <v>49</v>
      </c>
      <c r="B61" s="1194" t="s">
        <v>54</v>
      </c>
      <c r="C61" s="333">
        <v>71</v>
      </c>
      <c r="D61" s="333">
        <v>4218806</v>
      </c>
      <c r="E61" s="333">
        <v>188</v>
      </c>
      <c r="F61" s="333">
        <v>2265485</v>
      </c>
    </row>
    <row r="62" spans="1:6">
      <c r="A62" s="1194" t="s">
        <v>49</v>
      </c>
      <c r="B62" s="1194" t="s">
        <v>55</v>
      </c>
      <c r="C62" s="333">
        <v>5</v>
      </c>
      <c r="D62" s="333">
        <v>1110194</v>
      </c>
      <c r="E62" s="333">
        <v>8</v>
      </c>
      <c r="F62" s="333">
        <v>380477</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7</v>
      </c>
      <c r="D68" s="333">
        <v>190750</v>
      </c>
      <c r="E68" s="333">
        <v>18</v>
      </c>
      <c r="F68" s="333">
        <v>182705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55669513</v>
      </c>
      <c r="E73" s="333">
        <v>41407394.141307347</v>
      </c>
      <c r="F73" s="333">
        <v>46921207</v>
      </c>
    </row>
    <row r="74" spans="1:6">
      <c r="A74" s="1194" t="s">
        <v>64</v>
      </c>
      <c r="B74" s="1194" t="s">
        <v>775</v>
      </c>
      <c r="C74" s="1205" t="s">
        <v>776</v>
      </c>
      <c r="D74" s="333">
        <v>6279688.6678551622</v>
      </c>
      <c r="E74" s="333">
        <v>4800868.1938447123</v>
      </c>
      <c r="F74" s="333">
        <v>5253081.9241362801</v>
      </c>
    </row>
    <row r="75" spans="1:6">
      <c r="A75" s="1194" t="s">
        <v>65</v>
      </c>
      <c r="B75" s="1194" t="s">
        <v>773</v>
      </c>
      <c r="C75" s="1205" t="s">
        <v>777</v>
      </c>
      <c r="D75" s="333">
        <v>10345092</v>
      </c>
      <c r="E75" s="333">
        <v>7855341.371868005</v>
      </c>
      <c r="F75" s="333">
        <v>8828511</v>
      </c>
    </row>
    <row r="76" spans="1:6">
      <c r="A76" s="1194" t="s">
        <v>65</v>
      </c>
      <c r="B76" s="1194" t="s">
        <v>775</v>
      </c>
      <c r="C76" s="1205" t="s">
        <v>778</v>
      </c>
      <c r="D76" s="333">
        <v>903506.66785516217</v>
      </c>
      <c r="E76" s="333">
        <v>615629.16735088651</v>
      </c>
      <c r="F76" s="333">
        <v>699106.92413628031</v>
      </c>
    </row>
    <row r="77" spans="1:6">
      <c r="A77" s="1194" t="s">
        <v>66</v>
      </c>
      <c r="B77" s="1194" t="s">
        <v>773</v>
      </c>
      <c r="C77" s="1205" t="s">
        <v>779</v>
      </c>
      <c r="D77" s="333">
        <v>87269768</v>
      </c>
      <c r="E77" s="333">
        <v>113966807.54507591</v>
      </c>
      <c r="F77" s="333">
        <v>100240153</v>
      </c>
    </row>
    <row r="78" spans="1:6">
      <c r="A78" s="1190" t="s">
        <v>66</v>
      </c>
      <c r="B78" s="1190" t="s">
        <v>775</v>
      </c>
      <c r="C78" s="1190" t="s">
        <v>780</v>
      </c>
      <c r="D78" s="1190">
        <v>19161587</v>
      </c>
      <c r="E78" s="1190">
        <v>27296883.599749487</v>
      </c>
      <c r="F78" s="336">
        <v>24541579</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423764.66428967565</v>
      </c>
      <c r="C83" s="333">
        <v>381791.72117529763</v>
      </c>
      <c r="D83" s="333">
        <v>378560.15172743925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22795.78749602567</v>
      </c>
    </row>
    <row r="91" spans="1:6">
      <c r="A91" s="1194" t="s">
        <v>68</v>
      </c>
      <c r="B91" s="333">
        <v>1214.4989297168338</v>
      </c>
    </row>
    <row r="92" spans="1:6">
      <c r="A92" s="1190" t="s">
        <v>69</v>
      </c>
      <c r="B92" s="336">
        <v>1060.8560888686491</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2525</v>
      </c>
    </row>
    <row r="98" spans="1:6">
      <c r="A98" s="1194" t="s">
        <v>72</v>
      </c>
      <c r="B98" s="333">
        <v>2</v>
      </c>
    </row>
    <row r="99" spans="1:6">
      <c r="A99" s="1194" t="s">
        <v>73</v>
      </c>
      <c r="B99" s="333">
        <v>56</v>
      </c>
    </row>
    <row r="100" spans="1:6">
      <c r="A100" s="1194" t="s">
        <v>74</v>
      </c>
      <c r="B100" s="333">
        <v>449</v>
      </c>
    </row>
    <row r="101" spans="1:6">
      <c r="A101" s="1194" t="s">
        <v>75</v>
      </c>
      <c r="B101" s="333">
        <v>96</v>
      </c>
    </row>
    <row r="102" spans="1:6">
      <c r="A102" s="1194" t="s">
        <v>76</v>
      </c>
      <c r="B102" s="333">
        <v>58</v>
      </c>
    </row>
    <row r="103" spans="1:6">
      <c r="A103" s="1194" t="s">
        <v>77</v>
      </c>
      <c r="B103" s="333">
        <v>129</v>
      </c>
    </row>
    <row r="104" spans="1:6">
      <c r="A104" s="1194" t="s">
        <v>78</v>
      </c>
      <c r="B104" s="333">
        <v>902</v>
      </c>
    </row>
    <row r="105" spans="1:6">
      <c r="A105" s="1190" t="s">
        <v>79</v>
      </c>
      <c r="B105" s="1190">
        <v>6</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69</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43454.570756491412</v>
      </c>
      <c r="C3" s="43" t="s">
        <v>171</v>
      </c>
      <c r="D3" s="43"/>
      <c r="E3" s="156"/>
      <c r="F3" s="43"/>
      <c r="G3" s="43"/>
      <c r="H3" s="43"/>
      <c r="I3" s="43"/>
      <c r="J3" s="43"/>
      <c r="K3" s="96"/>
    </row>
    <row r="4" spans="1:11">
      <c r="A4" s="364" t="s">
        <v>172</v>
      </c>
      <c r="B4" s="49">
        <f>IF(ISERROR('SEAP template'!B69),0,'SEAP template'!B69)</f>
        <v>26065.642514611154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8.8436108666001767E-2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663.1875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894.57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894.57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8.8436108666001767E-2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79.112289729345207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22692.256000000001</v>
      </c>
      <c r="C5" s="17">
        <f>IF(ISERROR('Eigen informatie GS &amp; warmtenet'!B57),0,'Eigen informatie GS &amp; warmtenet'!B57)</f>
        <v>0</v>
      </c>
      <c r="D5" s="30">
        <f>(SUM(HH_hh_gas_kWh,HH_rest_gas_kWh)/1000)*0.902</f>
        <v>53207.436677999998</v>
      </c>
      <c r="E5" s="17">
        <f>B46*B57</f>
        <v>2525.1765397308782</v>
      </c>
      <c r="F5" s="17">
        <f>B51*B62</f>
        <v>0</v>
      </c>
      <c r="G5" s="18"/>
      <c r="H5" s="17"/>
      <c r="I5" s="17"/>
      <c r="J5" s="17">
        <f>B50*B61+C50*C61</f>
        <v>1104.4128617652052</v>
      </c>
      <c r="K5" s="17"/>
      <c r="L5" s="17"/>
      <c r="M5" s="17"/>
      <c r="N5" s="17">
        <f>B48*B59+C48*C59</f>
        <v>12524.916891021465</v>
      </c>
      <c r="O5" s="17">
        <f>B69*B70*B71</f>
        <v>121.94000000000001</v>
      </c>
      <c r="P5" s="17">
        <f>B77*B78*B79/1000-B77*B78*B79/1000/B80</f>
        <v>57.2</v>
      </c>
    </row>
    <row r="6" spans="1:16">
      <c r="A6" s="16" t="s">
        <v>633</v>
      </c>
      <c r="B6" s="830">
        <f>kWh_PV_kleiner_dan_10kW</f>
        <v>1214.4989297168338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23906.754929716833</v>
      </c>
      <c r="C8" s="21">
        <f>C5</f>
        <v>0</v>
      </c>
      <c r="D8" s="21">
        <f>D5</f>
        <v>53207.436677999998</v>
      </c>
      <c r="E8" s="21">
        <f>E5</f>
        <v>2525.1765397308782</v>
      </c>
      <c r="F8" s="21">
        <f>F5</f>
        <v>0</v>
      </c>
      <c r="G8" s="21"/>
      <c r="H8" s="21"/>
      <c r="I8" s="21"/>
      <c r="J8" s="21">
        <f>J5</f>
        <v>1104.4128617652052</v>
      </c>
      <c r="K8" s="21"/>
      <c r="L8" s="21">
        <f>L5</f>
        <v>0</v>
      </c>
      <c r="M8" s="21">
        <f>M5</f>
        <v>0</v>
      </c>
      <c r="N8" s="21">
        <f>N5</f>
        <v>12524.916891021465</v>
      </c>
      <c r="O8" s="21">
        <f>O5</f>
        <v>121.94000000000001</v>
      </c>
      <c r="P8" s="21">
        <f>P5</f>
        <v>57.2</v>
      </c>
    </row>
    <row r="9" spans="1:16">
      <c r="B9" s="19"/>
      <c r="C9" s="19"/>
      <c r="D9" s="260"/>
      <c r="E9" s="19"/>
      <c r="F9" s="19"/>
      <c r="G9" s="19"/>
      <c r="H9" s="19"/>
      <c r="I9" s="19"/>
      <c r="J9" s="19"/>
      <c r="K9" s="19"/>
      <c r="L9" s="19"/>
      <c r="M9" s="19"/>
      <c r="N9" s="19"/>
      <c r="O9" s="19"/>
      <c r="P9" s="19"/>
    </row>
    <row r="10" spans="1:16">
      <c r="A10" s="24" t="s">
        <v>215</v>
      </c>
      <c r="B10" s="25">
        <f ca="1">'EF ele_warmte'!B12</f>
        <v>8.8436108666001767E-2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2114.2203768159111</v>
      </c>
      <c r="C12" s="23">
        <f ca="1">C10*C8</f>
        <v>0</v>
      </c>
      <c r="D12" s="23">
        <f>D8*D10</f>
        <v>10747.902208956</v>
      </c>
      <c r="E12" s="23">
        <f>E10*E8</f>
        <v>573.21507451890932</v>
      </c>
      <c r="F12" s="23">
        <f>F10*F8</f>
        <v>0</v>
      </c>
      <c r="G12" s="23"/>
      <c r="H12" s="23"/>
      <c r="I12" s="23"/>
      <c r="J12" s="23">
        <f>J10*J8</f>
        <v>390.96215306488261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2525</v>
      </c>
      <c r="C18" s="167" t="s">
        <v>111</v>
      </c>
      <c r="D18" s="229"/>
      <c r="E18" s="15"/>
    </row>
    <row r="19" spans="1:7">
      <c r="A19" s="172" t="s">
        <v>72</v>
      </c>
      <c r="B19" s="37">
        <f>aantalw2001_ander</f>
        <v>2</v>
      </c>
      <c r="C19" s="167" t="s">
        <v>111</v>
      </c>
      <c r="D19" s="230"/>
      <c r="E19" s="15"/>
    </row>
    <row r="20" spans="1:7">
      <c r="A20" s="172" t="s">
        <v>73</v>
      </c>
      <c r="B20" s="37">
        <f>aantalw2001_propaan</f>
        <v>56</v>
      </c>
      <c r="C20" s="168">
        <f>IF(ISERROR(B20/SUM($B$20,$B$21,$B$22)*100),0,B20/SUM($B$20,$B$21,$B$22)*100)</f>
        <v>9.3178036605657244</v>
      </c>
      <c r="D20" s="230"/>
      <c r="E20" s="15"/>
    </row>
    <row r="21" spans="1:7">
      <c r="A21" s="172" t="s">
        <v>74</v>
      </c>
      <c r="B21" s="37">
        <f>aantalw2001_elektriciteit</f>
        <v>449</v>
      </c>
      <c r="C21" s="168">
        <f>IF(ISERROR(B21/SUM($B$20,$B$21,$B$22)*100),0,B21/SUM($B$20,$B$21,$B$22)*100)</f>
        <v>74.708818635607315</v>
      </c>
      <c r="D21" s="230"/>
      <c r="E21" s="15"/>
    </row>
    <row r="22" spans="1:7">
      <c r="A22" s="172" t="s">
        <v>75</v>
      </c>
      <c r="B22" s="37">
        <f>aantalw2001_hout</f>
        <v>96</v>
      </c>
      <c r="C22" s="168">
        <f>IF(ISERROR(B22/SUM($B$20,$B$21,$B$22)*100),0,B22/SUM($B$20,$B$21,$B$22)*100)</f>
        <v>15.973377703826955</v>
      </c>
      <c r="D22" s="230"/>
      <c r="E22" s="15"/>
    </row>
    <row r="23" spans="1:7">
      <c r="A23" s="172" t="s">
        <v>76</v>
      </c>
      <c r="B23" s="37">
        <f>aantalw2001_niet_gespec</f>
        <v>58</v>
      </c>
      <c r="C23" s="167" t="s">
        <v>111</v>
      </c>
      <c r="D23" s="229"/>
      <c r="E23" s="15"/>
    </row>
    <row r="24" spans="1:7">
      <c r="A24" s="172" t="s">
        <v>77</v>
      </c>
      <c r="B24" s="37">
        <f>aantalw2001_steenkool</f>
        <v>129</v>
      </c>
      <c r="C24" s="167" t="s">
        <v>111</v>
      </c>
      <c r="D24" s="230"/>
      <c r="E24" s="15"/>
    </row>
    <row r="25" spans="1:7">
      <c r="A25" s="172" t="s">
        <v>78</v>
      </c>
      <c r="B25" s="37">
        <f>aantalw2001_stookolie</f>
        <v>902</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713</v>
      </c>
      <c r="B28" s="37">
        <f>aantalHuishoudens2011</f>
        <v>4789</v>
      </c>
      <c r="C28" s="36"/>
      <c r="D28" s="229"/>
    </row>
    <row r="29" spans="1:7" s="15" customFormat="1">
      <c r="A29" s="231" t="s">
        <v>714</v>
      </c>
      <c r="B29" s="37">
        <f>SUM(HH_hh_gas_aantal,HH_rest_gas_aantal)</f>
        <v>3430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3430</v>
      </c>
      <c r="C32" s="168">
        <f>IF(ISERROR(B32/SUM($B$32,$B$34,$B$35,$B$36,$B$38,$B$39)*100),0,B32/SUM($B$32,$B$34,$B$35,$B$36,$B$38,$B$39)*100)</f>
        <v>71.667363142498957</v>
      </c>
      <c r="D32" s="234"/>
      <c r="G32" s="15"/>
    </row>
    <row r="33" spans="1:7">
      <c r="A33" s="172" t="s">
        <v>72</v>
      </c>
      <c r="B33" s="34" t="s">
        <v>111</v>
      </c>
      <c r="C33" s="168"/>
      <c r="D33" s="234"/>
      <c r="G33" s="15"/>
    </row>
    <row r="34" spans="1:7">
      <c r="A34" s="172" t="s">
        <v>73</v>
      </c>
      <c r="B34" s="33">
        <f>IF((($B$28-$B$32-$B$39-$B$77-$B$38)*C20/100)&lt;0,0,($B$28-$B$32-$B$39-$B$77-$B$38)*C20/100)</f>
        <v>122.76206322795342</v>
      </c>
      <c r="C34" s="168">
        <f>IF(ISERROR(B34/SUM($B$32,$B$34,$B$35,$B$36,$B$38,$B$39)*100),0,B34/SUM($B$32,$B$34,$B$35,$B$36,$B$38,$B$39)*100)</f>
        <v>2.5650243048047101</v>
      </c>
      <c r="D34" s="234"/>
      <c r="G34" s="15"/>
    </row>
    <row r="35" spans="1:7">
      <c r="A35" s="172" t="s">
        <v>74</v>
      </c>
      <c r="B35" s="33">
        <f>IF((($B$28-$B$32-$B$39-$B$77-$B$38)*C21/100)&lt;0,0,($B$28-$B$32-$B$39-$B$77-$B$38)*C21/100)</f>
        <v>984.28868552412632</v>
      </c>
      <c r="C35" s="168">
        <f>IF(ISERROR(B35/SUM($B$32,$B$34,$B$35,$B$36,$B$38,$B$39)*100),0,B35/SUM($B$32,$B$34,$B$35,$B$36,$B$38,$B$39)*100)</f>
        <v>20.565998443880616</v>
      </c>
      <c r="D35" s="234"/>
      <c r="G35" s="15"/>
    </row>
    <row r="36" spans="1:7">
      <c r="A36" s="172" t="s">
        <v>75</v>
      </c>
      <c r="B36" s="33">
        <f>IF((($B$28-$B$32-$B$39-$B$77-$B$38)*C22/100)&lt;0,0,($B$28-$B$32-$B$39-$B$77-$B$38)*C22/100)</f>
        <v>210.44925124792016</v>
      </c>
      <c r="C36" s="168">
        <f>IF(ISERROR(B36/SUM($B$32,$B$34,$B$35,$B$36,$B$38,$B$39)*100),0,B36/SUM($B$32,$B$34,$B$35,$B$36,$B$38,$B$39)*100)</f>
        <v>4.3971845225223598</v>
      </c>
      <c r="D36" s="234"/>
      <c r="G36" s="15"/>
    </row>
    <row r="37" spans="1:7">
      <c r="A37" s="172" t="s">
        <v>76</v>
      </c>
      <c r="B37" s="34" t="s">
        <v>111</v>
      </c>
      <c r="C37" s="168"/>
      <c r="D37" s="174"/>
      <c r="G37" s="15"/>
    </row>
    <row r="38" spans="1:7">
      <c r="A38" s="172" t="s">
        <v>77</v>
      </c>
      <c r="B38" s="33">
        <f>IF((B24-(B29-B18)*0.1)&lt;0,0,B24-(B29-B18)*0.1)</f>
        <v>38.5</v>
      </c>
      <c r="C38" s="168">
        <f>IF(ISERROR(B38/SUM($B$32,$B$34,$B$35,$B$36,$B$38,$B$39)*100),0,B38/SUM($B$32,$B$34,$B$35,$B$36,$B$38,$B$39)*100)</f>
        <v>0.80442958629335559</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3430</v>
      </c>
      <c r="C44" s="34" t="s">
        <v>111</v>
      </c>
      <c r="D44" s="175"/>
    </row>
    <row r="45" spans="1:7">
      <c r="A45" s="172" t="s">
        <v>72</v>
      </c>
      <c r="B45" s="33" t="str">
        <f t="shared" si="0"/>
        <v>-</v>
      </c>
      <c r="C45" s="34" t="s">
        <v>111</v>
      </c>
      <c r="D45" s="175"/>
    </row>
    <row r="46" spans="1:7">
      <c r="A46" s="172" t="s">
        <v>73</v>
      </c>
      <c r="B46" s="33">
        <f t="shared" si="0"/>
        <v>122.76206322795342</v>
      </c>
      <c r="C46" s="34" t="s">
        <v>111</v>
      </c>
      <c r="D46" s="175"/>
    </row>
    <row r="47" spans="1:7">
      <c r="A47" s="172" t="s">
        <v>74</v>
      </c>
      <c r="B47" s="33">
        <f t="shared" si="0"/>
        <v>984.28868552412632</v>
      </c>
      <c r="C47" s="34" t="s">
        <v>111</v>
      </c>
      <c r="D47" s="175"/>
    </row>
    <row r="48" spans="1:7">
      <c r="A48" s="172" t="s">
        <v>75</v>
      </c>
      <c r="B48" s="33">
        <f t="shared" si="0"/>
        <v>210.44925124792016</v>
      </c>
      <c r="C48" s="33">
        <f>B48*10</f>
        <v>2104.4925124792017</v>
      </c>
      <c r="D48" s="235"/>
    </row>
    <row r="49" spans="1:6">
      <c r="A49" s="172" t="s">
        <v>76</v>
      </c>
      <c r="B49" s="33" t="str">
        <f t="shared" si="0"/>
        <v>-</v>
      </c>
      <c r="C49" s="34" t="s">
        <v>111</v>
      </c>
      <c r="D49" s="235"/>
    </row>
    <row r="50" spans="1:6">
      <c r="A50" s="172" t="s">
        <v>77</v>
      </c>
      <c r="B50" s="33">
        <f t="shared" si="0"/>
        <v>38.5</v>
      </c>
      <c r="C50" s="33">
        <f>B50*2</f>
        <v>77</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12348.438</v>
      </c>
      <c r="C5" s="17">
        <f>IF(ISERROR('Eigen informatie GS &amp; warmtenet'!B58),0,'Eigen informatie GS &amp; warmtenet'!B58)</f>
        <v>0</v>
      </c>
      <c r="D5" s="30">
        <f>SUM(D6:D12)</f>
        <v>10605.117974000001</v>
      </c>
      <c r="E5" s="17">
        <f>SUM(E6:E12)</f>
        <v>164.46792438708417</v>
      </c>
      <c r="F5" s="17">
        <f>SUM(F6:F12)</f>
        <v>2415.8713719510729</v>
      </c>
      <c r="G5" s="18"/>
      <c r="H5" s="17"/>
      <c r="I5" s="17"/>
      <c r="J5" s="17">
        <f>SUM(J6:J12)</f>
        <v>0</v>
      </c>
      <c r="K5" s="17"/>
      <c r="L5" s="17"/>
      <c r="M5" s="17"/>
      <c r="N5" s="17">
        <f>SUM(N6:N12)</f>
        <v>525.6630383113752</v>
      </c>
      <c r="O5" s="17">
        <f>B38*B39*B40</f>
        <v>0</v>
      </c>
      <c r="P5" s="17">
        <f>B46*B47*B48/1000-B46*B47*B48/1000/B49</f>
        <v>0</v>
      </c>
      <c r="R5" s="32"/>
    </row>
    <row r="6" spans="1:18">
      <c r="A6" s="32" t="s">
        <v>54</v>
      </c>
      <c r="B6" s="37">
        <f>B26</f>
        <v>2265.4850000000001</v>
      </c>
      <c r="C6" s="33"/>
      <c r="D6" s="37">
        <f>IF(ISERROR(TER_kantoor_gas_kWh/1000),0,TER_kantoor_gas_kWh/1000)*0.902</f>
        <v>3805.3630119999998</v>
      </c>
      <c r="E6" s="33">
        <f>$C$26*'E Balans VL '!I12/100/3.6*1000000</f>
        <v>79.30088684399594</v>
      </c>
      <c r="F6" s="33">
        <f>$C$26*('E Balans VL '!L12+'E Balans VL '!N12)/100/3.6*1000000</f>
        <v>343.49616548632667</v>
      </c>
      <c r="G6" s="34"/>
      <c r="H6" s="33"/>
      <c r="I6" s="33"/>
      <c r="J6" s="33">
        <f>$C$26*('E Balans VL '!D12+'E Balans VL '!E12)/100/3.6*1000000</f>
        <v>0</v>
      </c>
      <c r="K6" s="33"/>
      <c r="L6" s="33"/>
      <c r="M6" s="33"/>
      <c r="N6" s="33">
        <f>$C$26*'E Balans VL '!Y12/100/3.6*1000000</f>
        <v>17.511489972709683</v>
      </c>
      <c r="O6" s="33"/>
      <c r="P6" s="33"/>
      <c r="R6" s="32"/>
    </row>
    <row r="7" spans="1:18">
      <c r="A7" s="32" t="s">
        <v>53</v>
      </c>
      <c r="B7" s="37">
        <f t="shared" ref="B7:B12" si="0">B27</f>
        <v>689.86500000000001</v>
      </c>
      <c r="C7" s="33"/>
      <c r="D7" s="37">
        <f>IF(ISERROR(TER_horeca_gas_kWh/1000),0,TER_horeca_gas_kWh/1000)*0.902</f>
        <v>1149.172354</v>
      </c>
      <c r="E7" s="33">
        <f>$C$27*'E Balans VL '!I9/100/3.6*1000000</f>
        <v>38.917558970503151</v>
      </c>
      <c r="F7" s="33">
        <f>$C$27*('E Balans VL '!L9+'E Balans VL '!N9)/100/3.6*1000000</f>
        <v>120.17830076192776</v>
      </c>
      <c r="G7" s="34"/>
      <c r="H7" s="33"/>
      <c r="I7" s="33"/>
      <c r="J7" s="33">
        <f>$C$27*('E Balans VL '!D9+'E Balans VL '!E9)/100/3.6*1000000</f>
        <v>0</v>
      </c>
      <c r="K7" s="33"/>
      <c r="L7" s="33"/>
      <c r="M7" s="33"/>
      <c r="N7" s="33">
        <f>$C$27*'E Balans VL '!Y9/100/3.6*1000000</f>
        <v>0</v>
      </c>
      <c r="O7" s="33"/>
      <c r="P7" s="33"/>
      <c r="R7" s="32"/>
    </row>
    <row r="8" spans="1:18">
      <c r="A8" s="6" t="s">
        <v>52</v>
      </c>
      <c r="B8" s="37">
        <f t="shared" si="0"/>
        <v>6336.875</v>
      </c>
      <c r="C8" s="33"/>
      <c r="D8" s="37">
        <f>IF(ISERROR(TER_handel_gas_kWh/1000),0,TER_handel_gas_kWh/1000)*0.902</f>
        <v>1957.3562360000001</v>
      </c>
      <c r="E8" s="33">
        <f>$C$28*'E Balans VL '!I13/100/3.6*1000000</f>
        <v>32.532872432837522</v>
      </c>
      <c r="F8" s="33">
        <f>$C$28*('E Balans VL '!L13+'E Balans VL '!N13)/100/3.6*1000000</f>
        <v>977.04821022986016</v>
      </c>
      <c r="G8" s="34"/>
      <c r="H8" s="33"/>
      <c r="I8" s="33"/>
      <c r="J8" s="33">
        <f>$C$28*('E Balans VL '!D13+'E Balans VL '!E13)/100/3.6*1000000</f>
        <v>0</v>
      </c>
      <c r="K8" s="33"/>
      <c r="L8" s="33"/>
      <c r="M8" s="33"/>
      <c r="N8" s="33">
        <f>$C$28*'E Balans VL '!Y13/100/3.6*1000000</f>
        <v>2.963833789471241</v>
      </c>
      <c r="O8" s="33"/>
      <c r="P8" s="33"/>
      <c r="R8" s="32"/>
    </row>
    <row r="9" spans="1:18">
      <c r="A9" s="32" t="s">
        <v>51</v>
      </c>
      <c r="B9" s="37">
        <f t="shared" si="0"/>
        <v>507.73099999999999</v>
      </c>
      <c r="C9" s="33"/>
      <c r="D9" s="37">
        <f>IF(ISERROR(TER_gezond_gas_kWh/1000),0,TER_gezond_gas_kWh/1000)*0.902</f>
        <v>1504.4566240000001</v>
      </c>
      <c r="E9" s="33">
        <f>$C$29*'E Balans VL '!I10/100/3.6*1000000</f>
        <v>0.21045088356941213</v>
      </c>
      <c r="F9" s="33">
        <f>$C$29*('E Balans VL '!L10+'E Balans VL '!N10)/100/3.6*1000000</f>
        <v>125.04686346611777</v>
      </c>
      <c r="G9" s="34"/>
      <c r="H9" s="33"/>
      <c r="I9" s="33"/>
      <c r="J9" s="33">
        <f>$C$29*('E Balans VL '!D10+'E Balans VL '!E10)/100/3.6*1000000</f>
        <v>0</v>
      </c>
      <c r="K9" s="33"/>
      <c r="L9" s="33"/>
      <c r="M9" s="33"/>
      <c r="N9" s="33">
        <f>$C$29*'E Balans VL '!Y10/100/3.6*1000000</f>
        <v>4.388052537751209</v>
      </c>
      <c r="O9" s="33"/>
      <c r="P9" s="33"/>
      <c r="R9" s="32"/>
    </row>
    <row r="10" spans="1:18">
      <c r="A10" s="32" t="s">
        <v>50</v>
      </c>
      <c r="B10" s="37">
        <f t="shared" si="0"/>
        <v>2168.0050000000001</v>
      </c>
      <c r="C10" s="33"/>
      <c r="D10" s="37">
        <f>IF(ISERROR(TER_ander_gas_kWh/1000),0,TER_ander_gas_kWh/1000)*0.902</f>
        <v>1187.3747600000002</v>
      </c>
      <c r="E10" s="33">
        <f>$C$30*'E Balans VL '!I14/100/3.6*1000000</f>
        <v>13.216211970531438</v>
      </c>
      <c r="F10" s="33">
        <f>$C$30*('E Balans VL '!L14+'E Balans VL '!N14)/100/3.6*1000000</f>
        <v>574.76782379967551</v>
      </c>
      <c r="G10" s="34"/>
      <c r="H10" s="33"/>
      <c r="I10" s="33"/>
      <c r="J10" s="33">
        <f>$C$30*('E Balans VL '!D14+'E Balans VL '!E14)/100/3.6*1000000</f>
        <v>0</v>
      </c>
      <c r="K10" s="33"/>
      <c r="L10" s="33"/>
      <c r="M10" s="33"/>
      <c r="N10" s="33">
        <f>$C$30*'E Balans VL '!Y14/100/3.6*1000000</f>
        <v>499.67830536009706</v>
      </c>
      <c r="O10" s="33"/>
      <c r="P10" s="33"/>
      <c r="R10" s="32"/>
    </row>
    <row r="11" spans="1:18">
      <c r="A11" s="32" t="s">
        <v>55</v>
      </c>
      <c r="B11" s="37">
        <f t="shared" si="0"/>
        <v>380.47699999999998</v>
      </c>
      <c r="C11" s="33"/>
      <c r="D11" s="37">
        <f>IF(ISERROR(TER_onderwijs_gas_kWh/1000),0,TER_onderwijs_gas_kWh/1000)*0.902</f>
        <v>1001.394988</v>
      </c>
      <c r="E11" s="33">
        <f>$C$31*'E Balans VL '!I11/100/3.6*1000000</f>
        <v>0.28994328564668687</v>
      </c>
      <c r="F11" s="33">
        <f>$C$31*('E Balans VL '!L11+'E Balans VL '!N11)/100/3.6*1000000</f>
        <v>275.33400820716508</v>
      </c>
      <c r="G11" s="34"/>
      <c r="H11" s="33"/>
      <c r="I11" s="33"/>
      <c r="J11" s="33">
        <f>$C$31*('E Balans VL '!D11+'E Balans VL '!E11)/100/3.6*1000000</f>
        <v>0</v>
      </c>
      <c r="K11" s="33"/>
      <c r="L11" s="33"/>
      <c r="M11" s="33"/>
      <c r="N11" s="33">
        <f>$C$31*'E Balans VL '!Y11/100/3.6*1000000</f>
        <v>1.1213566513460338</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589.5</v>
      </c>
      <c r="C13" s="248">
        <f ca="1">'lokale energieproductie'!O90+'lokale energieproductie'!O59</f>
        <v>663.1875</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-1473.75</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12937.938</v>
      </c>
      <c r="C16" s="21">
        <f ca="1">C5+C13+C14</f>
        <v>663.1875</v>
      </c>
      <c r="D16" s="21">
        <f t="shared" ref="D16:N16" ca="1" si="1">MAX((D5+D13+D14),0)</f>
        <v>10605.117974000001</v>
      </c>
      <c r="E16" s="21">
        <f t="shared" si="1"/>
        <v>164.46792438708417</v>
      </c>
      <c r="F16" s="21">
        <f t="shared" ca="1" si="1"/>
        <v>2415.8713719510729</v>
      </c>
      <c r="G16" s="21">
        <f t="shared" si="1"/>
        <v>0</v>
      </c>
      <c r="H16" s="21">
        <f t="shared" si="1"/>
        <v>0</v>
      </c>
      <c r="I16" s="21">
        <f t="shared" si="1"/>
        <v>0</v>
      </c>
      <c r="J16" s="21">
        <f t="shared" si="1"/>
        <v>0</v>
      </c>
      <c r="K16" s="21">
        <f t="shared" si="1"/>
        <v>0</v>
      </c>
      <c r="L16" s="21">
        <f t="shared" ca="1" si="1"/>
        <v>0</v>
      </c>
      <c r="M16" s="21">
        <f t="shared" si="1"/>
        <v>0</v>
      </c>
      <c r="N16" s="21">
        <f t="shared" ca="1" si="1"/>
        <v>525.6630383113752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8.8436108666001767E-2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1144.1808908819935</v>
      </c>
      <c r="C20" s="23">
        <f t="shared" ref="C20:P20" ca="1" si="2">C16*C18</f>
        <v>0</v>
      </c>
      <c r="D20" s="23">
        <f t="shared" ca="1" si="2"/>
        <v>2142.2338307480004</v>
      </c>
      <c r="E20" s="23">
        <f t="shared" si="2"/>
        <v>37.334218835868107</v>
      </c>
      <c r="F20" s="23">
        <f t="shared" ca="1" si="2"/>
        <v>645.03765631093654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2265.4850000000001</v>
      </c>
      <c r="C26" s="39">
        <f>IF(ISERROR(B26*3.6/1000000/'E Balans VL '!Z12*100),0,B26*3.6/1000000/'E Balans VL '!Z12*100)</f>
        <v>4.7673374800927773E-2</v>
      </c>
      <c r="D26" s="238" t="s">
        <v>720</v>
      </c>
      <c r="F26" s="6"/>
    </row>
    <row r="27" spans="1:18">
      <c r="A27" s="232" t="s">
        <v>53</v>
      </c>
      <c r="B27" s="33">
        <f>IF(ISERROR(TER_horeca_ele_kWh/1000),0,TER_horeca_ele_kWh/1000)</f>
        <v>689.86500000000001</v>
      </c>
      <c r="C27" s="39">
        <f>IF(ISERROR(B27*3.6/1000000/'E Balans VL '!Z9*100),0,B27*3.6/1000000/'E Balans VL '!Z9*100)</f>
        <v>5.840893104730175E-2</v>
      </c>
      <c r="D27" s="238" t="s">
        <v>720</v>
      </c>
      <c r="F27" s="6"/>
    </row>
    <row r="28" spans="1:18">
      <c r="A28" s="172" t="s">
        <v>52</v>
      </c>
      <c r="B28" s="33">
        <f>IF(ISERROR(TER_handel_ele_kWh/1000),0,TER_handel_ele_kWh/1000)</f>
        <v>6336.875</v>
      </c>
      <c r="C28" s="39">
        <f>IF(ISERROR(B28*3.6/1000000/'E Balans VL '!Z13*100),0,B28*3.6/1000000/'E Balans VL '!Z13*100)</f>
        <v>0.17543550811797223</v>
      </c>
      <c r="D28" s="238" t="s">
        <v>720</v>
      </c>
      <c r="F28" s="6"/>
    </row>
    <row r="29" spans="1:18">
      <c r="A29" s="232" t="s">
        <v>51</v>
      </c>
      <c r="B29" s="33">
        <f>IF(ISERROR(TER_gezond_ele_kWh/1000),0,TER_gezond_ele_kWh/1000)</f>
        <v>507.73099999999999</v>
      </c>
      <c r="C29" s="39">
        <f>IF(ISERROR(B29*3.6/1000000/'E Balans VL '!Z10*100),0,B29*3.6/1000000/'E Balans VL '!Z10*100)</f>
        <v>6.5999401145598435E-2</v>
      </c>
      <c r="D29" s="238" t="s">
        <v>720</v>
      </c>
      <c r="F29" s="6"/>
    </row>
    <row r="30" spans="1:18">
      <c r="A30" s="232" t="s">
        <v>50</v>
      </c>
      <c r="B30" s="33">
        <f>IF(ISERROR(TER_ander_ele_kWh/1000),0,TER_ander_ele_kWh/1000)</f>
        <v>2168.0050000000001</v>
      </c>
      <c r="C30" s="39">
        <f>IF(ISERROR(B30*3.6/1000000/'E Balans VL '!Z14*100),0,B30*3.6/1000000/'E Balans VL '!Z14*100)</f>
        <v>0.16804026962466576</v>
      </c>
      <c r="D30" s="238" t="s">
        <v>720</v>
      </c>
      <c r="F30" s="6"/>
    </row>
    <row r="31" spans="1:18">
      <c r="A31" s="232" t="s">
        <v>55</v>
      </c>
      <c r="B31" s="33">
        <f>IF(ISERROR(TER_onderwijs_ele_kWh/1000),0,TER_onderwijs_ele_kWh/1000)</f>
        <v>380.47699999999998</v>
      </c>
      <c r="C31" s="39">
        <f>IF(ISERROR(B31*3.6/1000000/'E Balans VL '!Z11*100),0,B31*3.6/1000000/'E Balans VL '!Z11*100)</f>
        <v>7.2791733290881788E-2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2962.3950000000004</v>
      </c>
      <c r="C5" s="17">
        <f>IF(ISERROR('Eigen informatie GS &amp; warmtenet'!B59),0,'Eigen informatie GS &amp; warmtenet'!B59)</f>
        <v>0</v>
      </c>
      <c r="D5" s="30">
        <f>SUM(D6:D15)</f>
        <v>6422.4041639999996</v>
      </c>
      <c r="E5" s="17">
        <f>SUM(E6:E15)</f>
        <v>54.919809337966541</v>
      </c>
      <c r="F5" s="17">
        <f>SUM(F6:F15)</f>
        <v>888.33293589414063</v>
      </c>
      <c r="G5" s="18"/>
      <c r="H5" s="17"/>
      <c r="I5" s="17"/>
      <c r="J5" s="17">
        <f>SUM(J6:J15)</f>
        <v>17.616834918052611</v>
      </c>
      <c r="K5" s="17"/>
      <c r="L5" s="17"/>
      <c r="M5" s="17"/>
      <c r="N5" s="17">
        <f>SUM(N6:N15)</f>
        <v>64.423595905418864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477.827</v>
      </c>
      <c r="C8" s="33"/>
      <c r="D8" s="37">
        <f>IF( ISERROR(IND_metaal_Gas_kWH/1000),0,IND_metaal_Gas_kWH/1000)*0.902</f>
        <v>567.33454800000004</v>
      </c>
      <c r="E8" s="33">
        <f>C30*'E Balans VL '!I18/100/3.6*1000000</f>
        <v>3.3575849012546799</v>
      </c>
      <c r="F8" s="33">
        <f>C30*'E Balans VL '!L18/100/3.6*1000000+C30*'E Balans VL '!N18/100/3.6*1000000</f>
        <v>52.462609036886818</v>
      </c>
      <c r="G8" s="34"/>
      <c r="H8" s="33"/>
      <c r="I8" s="33"/>
      <c r="J8" s="40">
        <f>C30*'E Balans VL '!D18/100/3.6*1000000+C30*'E Balans VL '!E18/100/3.6*1000000</f>
        <v>9.8586009143844358</v>
      </c>
      <c r="K8" s="33"/>
      <c r="L8" s="33"/>
      <c r="M8" s="33"/>
      <c r="N8" s="33">
        <f>C30*'E Balans VL '!Y18/100/3.6*1000000</f>
        <v>1.7909300090636278</v>
      </c>
      <c r="O8" s="33"/>
      <c r="P8" s="33"/>
      <c r="R8" s="32"/>
    </row>
    <row r="9" spans="1:18">
      <c r="A9" s="6" t="s">
        <v>33</v>
      </c>
      <c r="B9" s="37">
        <f t="shared" si="0"/>
        <v>776.38800000000003</v>
      </c>
      <c r="C9" s="33"/>
      <c r="D9" s="37">
        <f>IF( ISERROR(IND_andere_gas_kWh/1000),0,IND_andere_gas_kWh/1000)*0.902</f>
        <v>4272.7261939999999</v>
      </c>
      <c r="E9" s="33">
        <f>C31*'E Balans VL '!I19/100/3.6*1000000</f>
        <v>13.040387565667116</v>
      </c>
      <c r="F9" s="33">
        <f>C31*'E Balans VL '!L19/100/3.6*1000000+C31*'E Balans VL '!N19/100/3.6*1000000</f>
        <v>606.93591864130224</v>
      </c>
      <c r="G9" s="34"/>
      <c r="H9" s="33"/>
      <c r="I9" s="33"/>
      <c r="J9" s="40">
        <f>C31*'E Balans VL '!D19/100/3.6*1000000+C31*'E Balans VL '!E19/100/3.6*1000000</f>
        <v>7.00233441242816E-2</v>
      </c>
      <c r="K9" s="33"/>
      <c r="L9" s="33"/>
      <c r="M9" s="33"/>
      <c r="N9" s="33">
        <f>C31*'E Balans VL '!Y19/100/3.6*1000000</f>
        <v>57.542806848863499</v>
      </c>
      <c r="O9" s="33"/>
      <c r="P9" s="33"/>
      <c r="R9" s="32"/>
    </row>
    <row r="10" spans="1:18">
      <c r="A10" s="6" t="s">
        <v>41</v>
      </c>
      <c r="B10" s="37">
        <f t="shared" si="0"/>
        <v>336.15199999999999</v>
      </c>
      <c r="C10" s="33"/>
      <c r="D10" s="37">
        <f>IF( ISERROR(IND_voed_gas_kWh/1000),0,IND_voed_gas_kWh/1000)*0.902</f>
        <v>598.31193400000006</v>
      </c>
      <c r="E10" s="33">
        <f>C32*'E Balans VL '!I20/100/3.6*1000000</f>
        <v>3.0669111600431158</v>
      </c>
      <c r="F10" s="33">
        <f>C32*'E Balans VL '!L20/100/3.6*1000000+C32*'E Balans VL '!N20/100/3.6*1000000</f>
        <v>54.231831819246466</v>
      </c>
      <c r="G10" s="34"/>
      <c r="H10" s="33"/>
      <c r="I10" s="33"/>
      <c r="J10" s="40">
        <f>C32*'E Balans VL '!D20/100/3.6*1000000+C32*'E Balans VL '!E20/100/3.6*1000000</f>
        <v>1.3844943279192885</v>
      </c>
      <c r="K10" s="33"/>
      <c r="L10" s="33"/>
      <c r="M10" s="33"/>
      <c r="N10" s="33">
        <f>C32*'E Balans VL '!Y20/100/3.6*1000000</f>
        <v>4.9176386967087149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1098.3510000000001</v>
      </c>
      <c r="C12" s="33"/>
      <c r="D12" s="37">
        <f>IF( ISERROR(IND_min_gas_kWh/1000),0,IND_min_gas_kWh/1000)*0.902</f>
        <v>620.65898400000003</v>
      </c>
      <c r="E12" s="33">
        <f>C34*'E Balans VL '!I22/100/3.6*1000000</f>
        <v>27.242675592168894</v>
      </c>
      <c r="F12" s="33">
        <f>C34*'E Balans VL '!L22/100/3.6*1000000+C34*'E Balans VL '!N22/100/3.6*1000000</f>
        <v>116.71031045671754</v>
      </c>
      <c r="G12" s="34"/>
      <c r="H12" s="33"/>
      <c r="I12" s="33"/>
      <c r="J12" s="40">
        <f>C34*'E Balans VL '!D22/100/3.6*1000000+C34*'E Balans VL '!E22/100/3.6*1000000</f>
        <v>6.2392781508514892</v>
      </c>
      <c r="K12" s="33"/>
      <c r="L12" s="33"/>
      <c r="M12" s="33"/>
      <c r="N12" s="33">
        <f>C34*'E Balans VL '!Y22/100/3.6*1000000</f>
        <v>0</v>
      </c>
      <c r="O12" s="33"/>
      <c r="P12" s="33"/>
      <c r="R12" s="32"/>
    </row>
    <row r="13" spans="1:18">
      <c r="A13" s="6" t="s">
        <v>39</v>
      </c>
      <c r="B13" s="37">
        <f t="shared" si="0"/>
        <v>264.10700000000003</v>
      </c>
      <c r="C13" s="33"/>
      <c r="D13" s="37">
        <f>IF( ISERROR(IND_papier_gas_kWh/1000),0,IND_papier_gas_kWh/1000)*0.902</f>
        <v>346.308468</v>
      </c>
      <c r="E13" s="33">
        <f>C35*'E Balans VL '!I23/100/3.6*1000000</f>
        <v>8.1258831321170319</v>
      </c>
      <c r="F13" s="33">
        <f>C35*'E Balans VL '!L23/100/3.6*1000000+C35*'E Balans VL '!N23/100/3.6*1000000</f>
        <v>56.079146094319903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9.57</v>
      </c>
      <c r="C15" s="33"/>
      <c r="D15" s="37">
        <f>IF( ISERROR(IND_rest_gas_kWh/1000),0,IND_rest_gas_kWh/1000)*0.902</f>
        <v>17.064036000000002</v>
      </c>
      <c r="E15" s="33">
        <f>C37*'E Balans VL '!I15/100/3.6*1000000</f>
        <v>8.6366986715701533E-2</v>
      </c>
      <c r="F15" s="33">
        <f>C37*'E Balans VL '!L15/100/3.6*1000000+C37*'E Balans VL '!N15/100/3.6*1000000</f>
        <v>1.9131198456676803</v>
      </c>
      <c r="G15" s="34"/>
      <c r="H15" s="33"/>
      <c r="I15" s="33"/>
      <c r="J15" s="40">
        <f>C37*'E Balans VL '!D15/100/3.6*1000000+C37*'E Balans VL '!E15/100/3.6*1000000</f>
        <v>6.443818077311679E-2</v>
      </c>
      <c r="K15" s="33"/>
      <c r="L15" s="33"/>
      <c r="M15" s="33"/>
      <c r="N15" s="33">
        <f>C37*'E Balans VL '!Y15/100/3.6*1000000</f>
        <v>0.17222035078302078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2962.3950000000004</v>
      </c>
      <c r="C18" s="21">
        <f>C5+C16</f>
        <v>0</v>
      </c>
      <c r="D18" s="21">
        <f>MAX((D5+D16),0)</f>
        <v>6422.4041639999996</v>
      </c>
      <c r="E18" s="21">
        <f>MAX((E5+E16),0)</f>
        <v>54.919809337966541</v>
      </c>
      <c r="F18" s="21">
        <f>MAX((F5+F16),0)</f>
        <v>888.33293589414063</v>
      </c>
      <c r="G18" s="21"/>
      <c r="H18" s="21"/>
      <c r="I18" s="21"/>
      <c r="J18" s="21">
        <f>MAX((J5+J16),0)</f>
        <v>17.616834918052611</v>
      </c>
      <c r="K18" s="21"/>
      <c r="L18" s="21">
        <f>MAX((L5+L16),0)</f>
        <v>0</v>
      </c>
      <c r="M18" s="21"/>
      <c r="N18" s="21">
        <f>MAX((N5+N16),0)</f>
        <v>64.423595905418864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8.8436108666001767E-2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261.98268613162037</v>
      </c>
      <c r="C22" s="23">
        <f ca="1">C18*C20</f>
        <v>0</v>
      </c>
      <c r="D22" s="23">
        <f>D18*D20</f>
        <v>1297.3256411279999</v>
      </c>
      <c r="E22" s="23">
        <f>E18*E20</f>
        <v>12.466796719718404</v>
      </c>
      <c r="F22" s="23">
        <f>F18*F20</f>
        <v>237.18489388373555</v>
      </c>
      <c r="G22" s="23"/>
      <c r="H22" s="23"/>
      <c r="I22" s="23"/>
      <c r="J22" s="23">
        <f>J18*J20</f>
        <v>6.2363595609906239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477.827</v>
      </c>
      <c r="C30" s="39">
        <f>IF(ISERROR(B30*3.6/1000000/'E Balans VL '!Z18*100),0,B30*3.6/1000000/'E Balans VL '!Z18*100)</f>
        <v>3.1809235175617318E-2</v>
      </c>
      <c r="D30" s="238" t="s">
        <v>720</v>
      </c>
    </row>
    <row r="31" spans="1:18">
      <c r="A31" s="6" t="s">
        <v>33</v>
      </c>
      <c r="B31" s="37">
        <f>IF( ISERROR(IND_ander_ele_kWh/1000),0,IND_ander_ele_kWh/1000)</f>
        <v>776.38800000000003</v>
      </c>
      <c r="C31" s="39">
        <f>IF(ISERROR(B31*3.6/1000000/'E Balans VL '!Z19*100),0,B31*3.6/1000000/'E Balans VL '!Z19*100)</f>
        <v>3.4414203255619634E-2</v>
      </c>
      <c r="D31" s="238" t="s">
        <v>720</v>
      </c>
    </row>
    <row r="32" spans="1:18">
      <c r="A32" s="172" t="s">
        <v>41</v>
      </c>
      <c r="B32" s="37">
        <f>IF( ISERROR(IND_voed_ele_kWh/1000),0,IND_voed_ele_kWh/1000)</f>
        <v>336.15199999999999</v>
      </c>
      <c r="C32" s="39">
        <f>IF(ISERROR(B32*3.6/1000000/'E Balans VL '!Z20*100),0,B32*3.6/1000000/'E Balans VL '!Z20*100)</f>
        <v>1.1228441095283799E-2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1098.3510000000001</v>
      </c>
      <c r="C34" s="39">
        <f>IF(ISERROR(B34*3.6/1000000/'E Balans VL '!Z22*100),0,B34*3.6/1000000/'E Balans VL '!Z22*100)</f>
        <v>0.21361720480006402</v>
      </c>
      <c r="D34" s="238" t="s">
        <v>720</v>
      </c>
    </row>
    <row r="35" spans="1:5">
      <c r="A35" s="172" t="s">
        <v>39</v>
      </c>
      <c r="B35" s="37">
        <f>IF( ISERROR(IND_papier_ele_kWh/1000),0,IND_papier_ele_kWh/1000)</f>
        <v>264.10700000000003</v>
      </c>
      <c r="C35" s="39">
        <f>IF(ISERROR(B35*3.6/1000000/'E Balans VL '!Z22*100),0,B35*3.6/1000000/'E Balans VL '!Z22*100)</f>
        <v>5.1365910449510686E-2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9.57</v>
      </c>
      <c r="C37" s="39">
        <f>IF(ISERROR(B37*3.6/1000000/'E Balans VL '!Z15*100),0,B37*3.6/1000000/'E Balans VL '!Z15*100)</f>
        <v>7.1185209136369332E-5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2751.6889999999999</v>
      </c>
      <c r="C5" s="17">
        <f>'Eigen informatie GS &amp; warmtenet'!B60</f>
        <v>0</v>
      </c>
      <c r="D5" s="30">
        <f>IF(ISERROR(SUM(LB_lb_gas_kWh,LB_rest_gas_kWh,onbekend_gas_kWh)/1000),0,SUM(LB_lb_gas_kWh,LB_rest_gas_kWh,onbekend_gas_kWh)/1000)*0.902</f>
        <v>1116.42344</v>
      </c>
      <c r="E5" s="17">
        <f>B17*'E Balans VL '!I25/3.6*1000000/100</f>
        <v>28.816282924375322</v>
      </c>
      <c r="F5" s="17">
        <f>B17*('E Balans VL '!L25/3.6*1000000+'E Balans VL '!N25/3.6*1000000)/100</f>
        <v>14133.112839665417</v>
      </c>
      <c r="G5" s="18"/>
      <c r="H5" s="17"/>
      <c r="I5" s="17"/>
      <c r="J5" s="17">
        <f>('E Balans VL '!D25+'E Balans VL '!E25)/3.6*1000000*landbouw!B17/100</f>
        <v>245.75049150926316</v>
      </c>
      <c r="K5" s="17"/>
      <c r="L5" s="17">
        <f>L6*(-1)</f>
        <v>1012.5</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-1012.5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2751.6889999999999</v>
      </c>
      <c r="C8" s="21">
        <f>C5+C6</f>
        <v>0</v>
      </c>
      <c r="D8" s="21">
        <f>MAX((D5+D6),0)</f>
        <v>1116.42344</v>
      </c>
      <c r="E8" s="21">
        <f>MAX((E5+E6),0)</f>
        <v>28.816282924375322</v>
      </c>
      <c r="F8" s="21">
        <f>MAX((F5+F6),0)</f>
        <v>14133.112839665417</v>
      </c>
      <c r="G8" s="21"/>
      <c r="H8" s="21"/>
      <c r="I8" s="21"/>
      <c r="J8" s="21">
        <f>MAX((J5+J6),0)</f>
        <v>245.75049150926316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8.8436108666001767E-2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243.34866741904173</v>
      </c>
      <c r="C12" s="23">
        <f ca="1">C8*C10</f>
        <v>0</v>
      </c>
      <c r="D12" s="23">
        <f>D8*D10</f>
        <v>225.51753488000003</v>
      </c>
      <c r="E12" s="23">
        <f>E8*E10</f>
        <v>6.5412962238331982</v>
      </c>
      <c r="F12" s="23">
        <f>F8*F10</f>
        <v>3773.5411281906663</v>
      </c>
      <c r="G12" s="23"/>
      <c r="H12" s="23"/>
      <c r="I12" s="23"/>
      <c r="J12" s="23">
        <f>J8*J10</f>
        <v>86.995673994279159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0.42353805451371501</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478.10481509510578</v>
      </c>
      <c r="C26" s="248">
        <f>B26*'GWP N2O_CH4'!B5</f>
        <v>10040.201116997221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188.06350561408658</v>
      </c>
      <c r="C27" s="248">
        <f>B27*'GWP N2O_CH4'!B5</f>
        <v>3949.333617895818</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6.3799656646778526</v>
      </c>
      <c r="C28" s="248">
        <f>B28*'GWP N2O_CH4'!B4</f>
        <v>1977.7893560501343</v>
      </c>
      <c r="D28" s="50"/>
    </row>
    <row r="29" spans="1:4">
      <c r="A29" s="41" t="s">
        <v>278</v>
      </c>
      <c r="B29" s="248">
        <f>B34*'ha_N2O bodem landbouw'!B4</f>
        <v>28.502693574882386</v>
      </c>
      <c r="C29" s="248">
        <f>B29*'GWP N2O_CH4'!B4</f>
        <v>8835.8350082135403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4.7104444589828529E-3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4.4057763884852208E-6</v>
      </c>
      <c r="C5" s="446" t="s">
        <v>212</v>
      </c>
      <c r="D5" s="431">
        <f>SUM(D6:D11)</f>
        <v>2.0400651895831341E-5</v>
      </c>
      <c r="E5" s="431">
        <f>SUM(E6:E11)</f>
        <v>2.3954307099751633E-3</v>
      </c>
      <c r="F5" s="444" t="s">
        <v>212</v>
      </c>
      <c r="G5" s="431">
        <f>SUM(G6:G11)</f>
        <v>0.52209734757028925</v>
      </c>
      <c r="H5" s="431">
        <f>SUM(H6:H11)</f>
        <v>7.0554781226035868E-2</v>
      </c>
      <c r="I5" s="446" t="s">
        <v>212</v>
      </c>
      <c r="J5" s="446" t="s">
        <v>212</v>
      </c>
      <c r="K5" s="446" t="s">
        <v>212</v>
      </c>
      <c r="L5" s="446" t="s">
        <v>212</v>
      </c>
      <c r="M5" s="431">
        <f>SUM(M6:M11)</f>
        <v>2.5809582074916078E-2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1.6000810854598402E-6</v>
      </c>
      <c r="C6" s="432"/>
      <c r="D6" s="432">
        <f>vkm_2011_GW_PW*SUMIFS(TableVerdeelsleutelVkm[CNG],TableVerdeelsleutelVkm[Voertuigtype],"Lichte voertuigen")*SUMIFS(TableECFTransport[EnergieConsumptieFactor (PJ per km)],TableECFTransport[Index],CONCATENATE($A6,"_CNG_CNG"))</f>
        <v>6.8977635661973523E-6</v>
      </c>
      <c r="E6" s="434">
        <f>vkm_2011_GW_PW*SUMIFS(TableVerdeelsleutelVkm[LPG],TableVerdeelsleutelVkm[Voertuigtype],"Lichte voertuigen")*SUMIFS(TableECFTransport[EnergieConsumptieFactor (PJ per km)],TableECFTransport[Index],CONCATENATE($A6,"_LPG_LPG"))</f>
        <v>7.1766997527388909E-4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8.8275377162918972E-2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2.3241077474583757E-2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4.8871856725870959E-3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5.8725854044689295E-2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2.0136281549753501E-5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2.5368468615610249E-3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2.9734382689034677E-7</v>
      </c>
      <c r="C8" s="432"/>
      <c r="D8" s="434">
        <f>vkm_2011_NGW_PW*SUMIFS(TableVerdeelsleutelVkm[CNG],TableVerdeelsleutelVkm[Voertuigtype],"Lichte voertuigen")*SUMIFS(TableECFTransport[EnergieConsumptieFactor (PJ per km)],TableECFTransport[Index],CONCATENATE($A8,"_CNG_CNG"))</f>
        <v>2.2996067472404646E-6</v>
      </c>
      <c r="E8" s="434">
        <f>vkm_2011_NGW_PW*SUMIFS(TableVerdeelsleutelVkm[LPG],TableVerdeelsleutelVkm[Voertuigtype],"Lichte voertuigen")*SUMIFS(TableECFTransport[EnergieConsumptieFactor (PJ per km)],TableECFTransport[Index],CONCATENATE($A8,"_LPG_LPG"))</f>
        <v>2.1846210020238073E-4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2.5486947152762389E-2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7.3961973900768495E-3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1.4427712510123136E-3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1.1740628525561585E-2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3.4972247987862906E-6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5.0714870417786306E-4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2.5083514761350333E-6</v>
      </c>
      <c r="C10" s="432"/>
      <c r="D10" s="434">
        <f>vkm_2011_SW_PW*SUMIFS(TableVerdeelsleutelVkm[CNG],TableVerdeelsleutelVkm[Voertuigtype],"Lichte voertuigen")*SUMIFS(TableECFTransport[EnergieConsumptieFactor (PJ per km)],TableECFTransport[Index],CONCATENATE($A10,"_CNG_CNG"))</f>
        <v>1.1203281582393523E-5</v>
      </c>
      <c r="E10" s="434">
        <f>vkm_2011_SW_PW*SUMIFS(TableVerdeelsleutelVkm[LPG],TableVerdeelsleutelVkm[Voertuigtype],"Lichte voertuigen")*SUMIFS(TableECFTransport[EnergieConsumptieFactor (PJ per km)],TableECFTransport[Index],CONCATENATE($A10,"_LPG_LPG"))</f>
        <v>1.4592986344988937E-3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0.16501953324828048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3.9830636808531848E-2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8.9686927226281053E-3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0.17284900743607651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6.3236046494873058E-5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7.4669368629496774E-3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1.2238267745792282</v>
      </c>
      <c r="C14" s="21"/>
      <c r="D14" s="21">
        <f t="shared" ref="D14:M14" si="0">((D5)*10^9/3600)+D12</f>
        <v>5.6668477488420388</v>
      </c>
      <c r="E14" s="21">
        <f t="shared" si="0"/>
        <v>665.39741943754541</v>
      </c>
      <c r="F14" s="21"/>
      <c r="G14" s="21">
        <f t="shared" si="0"/>
        <v>145027.04099174702</v>
      </c>
      <c r="H14" s="21">
        <f t="shared" si="0"/>
        <v>19598.550340565518</v>
      </c>
      <c r="I14" s="21"/>
      <c r="J14" s="21"/>
      <c r="K14" s="21"/>
      <c r="L14" s="21"/>
      <c r="M14" s="21">
        <f t="shared" si="0"/>
        <v>7169.3283541433557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8.8436108666001767E-2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0.10823047762505107</v>
      </c>
      <c r="C18" s="23"/>
      <c r="D18" s="23">
        <f t="shared" ref="D18:M18" si="1">D14*D16</f>
        <v>1.1447032452660919</v>
      </c>
      <c r="E18" s="23">
        <f t="shared" si="1"/>
        <v>151.0452142123228</v>
      </c>
      <c r="F18" s="23"/>
      <c r="G18" s="23">
        <f t="shared" si="1"/>
        <v>38722.219944796459</v>
      </c>
      <c r="H18" s="23">
        <f t="shared" si="1"/>
        <v>4880.0390348008141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5.564193132616262E-3</v>
      </c>
      <c r="H50" s="322">
        <f t="shared" si="2"/>
        <v>0</v>
      </c>
      <c r="I50" s="322">
        <f t="shared" si="2"/>
        <v>0</v>
      </c>
      <c r="J50" s="322">
        <f t="shared" si="2"/>
        <v>0</v>
      </c>
      <c r="K50" s="322">
        <f t="shared" si="2"/>
        <v>0</v>
      </c>
      <c r="L50" s="322">
        <f t="shared" si="2"/>
        <v>0</v>
      </c>
      <c r="M50" s="322">
        <f t="shared" si="2"/>
        <v>2.3717737973675347E-4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5.564193132616262E-3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2.3717737973675347E-4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1545.6092035045172</v>
      </c>
      <c r="H54" s="21">
        <f t="shared" si="3"/>
        <v>0</v>
      </c>
      <c r="I54" s="21">
        <f t="shared" si="3"/>
        <v>0</v>
      </c>
      <c r="J54" s="21">
        <f t="shared" si="3"/>
        <v>0</v>
      </c>
      <c r="K54" s="21">
        <f t="shared" si="3"/>
        <v>0</v>
      </c>
      <c r="L54" s="21">
        <f t="shared" si="3"/>
        <v>0</v>
      </c>
      <c r="M54" s="21">
        <f t="shared" si="3"/>
        <v>65.882605482431515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8.8436108666001767E-2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412.6776573357061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22795.78749602567</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2275.3550185854829</v>
      </c>
      <c r="C6" s="1124"/>
      <c r="D6" s="1127"/>
      <c r="E6" s="1127"/>
      <c r="F6" s="1130"/>
      <c r="G6" s="1133"/>
      <c r="H6" s="1121"/>
      <c r="I6" s="1127"/>
      <c r="J6" s="1127"/>
      <c r="K6" s="1127"/>
      <c r="L6" s="1157"/>
      <c r="M6" s="559"/>
      <c r="N6" s="1169"/>
      <c r="O6" s="1170"/>
      <c r="Q6" s="557"/>
      <c r="R6" s="1154"/>
      <c r="S6" s="1154"/>
    </row>
    <row r="7" spans="1:19" s="547" customFormat="1">
      <c r="A7" s="560" t="s">
        <v>253</v>
      </c>
      <c r="B7" s="561">
        <f>N57</f>
        <v>589.5</v>
      </c>
      <c r="C7" s="562">
        <f>B100</f>
        <v>0</v>
      </c>
      <c r="D7" s="563"/>
      <c r="E7" s="563">
        <f>E100</f>
        <v>0</v>
      </c>
      <c r="F7" s="564"/>
      <c r="G7" s="565"/>
      <c r="H7" s="563">
        <f>I100</f>
        <v>0</v>
      </c>
      <c r="I7" s="563">
        <f>G100+F100</f>
        <v>693.52941176470586</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405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26065.642514611154</v>
      </c>
      <c r="C9" s="578">
        <f t="shared" ref="C9:L9" si="0">SUM(C7:C8)</f>
        <v>0</v>
      </c>
      <c r="D9" s="578">
        <f t="shared" si="0"/>
        <v>0</v>
      </c>
      <c r="E9" s="578">
        <f t="shared" si="0"/>
        <v>0</v>
      </c>
      <c r="F9" s="578">
        <f t="shared" si="0"/>
        <v>0</v>
      </c>
      <c r="G9" s="578">
        <f t="shared" si="0"/>
        <v>0</v>
      </c>
      <c r="H9" s="578">
        <f t="shared" si="0"/>
        <v>0</v>
      </c>
      <c r="I9" s="578">
        <f t="shared" si="0"/>
        <v>1706.0294117647059</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663.1875</v>
      </c>
      <c r="C16" s="594">
        <f>B101</f>
        <v>0</v>
      </c>
      <c r="D16" s="595"/>
      <c r="E16" s="595">
        <f>E101</f>
        <v>0</v>
      </c>
      <c r="F16" s="596"/>
      <c r="G16" s="597"/>
      <c r="H16" s="594">
        <f>I101</f>
        <v>0</v>
      </c>
      <c r="I16" s="595">
        <f>G101+F101</f>
        <v>780.22058823529414</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663.1875</v>
      </c>
      <c r="C19" s="577">
        <f>SUM(C16:C18)</f>
        <v>0</v>
      </c>
      <c r="D19" s="577">
        <f t="shared" ref="D19:M19" si="1">SUM(D16:D18)</f>
        <v>0</v>
      </c>
      <c r="E19" s="577">
        <f t="shared" si="1"/>
        <v>0</v>
      </c>
      <c r="F19" s="577">
        <f t="shared" si="1"/>
        <v>0</v>
      </c>
      <c r="G19" s="577">
        <f t="shared" si="1"/>
        <v>0</v>
      </c>
      <c r="H19" s="577">
        <f t="shared" si="1"/>
        <v>0</v>
      </c>
      <c r="I19" s="577">
        <f t="shared" si="1"/>
        <v>780.22058823529414</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35005</v>
      </c>
      <c r="C27" s="839">
        <v>8470</v>
      </c>
      <c r="D27" s="656" t="s">
        <v>894</v>
      </c>
      <c r="E27" s="655" t="s">
        <v>895</v>
      </c>
      <c r="F27" s="655" t="s">
        <v>896</v>
      </c>
      <c r="G27" s="655" t="s">
        <v>897</v>
      </c>
      <c r="H27" s="655" t="s">
        <v>898</v>
      </c>
      <c r="I27" s="655" t="s">
        <v>899</v>
      </c>
      <c r="J27" s="838">
        <v>39644</v>
      </c>
      <c r="K27" s="838">
        <v>39692</v>
      </c>
      <c r="L27" s="655" t="s">
        <v>900</v>
      </c>
      <c r="M27" s="655">
        <v>131</v>
      </c>
      <c r="N27" s="655">
        <v>589.5</v>
      </c>
      <c r="O27" s="655">
        <v>663.1875</v>
      </c>
      <c r="P27" s="655">
        <v>0</v>
      </c>
      <c r="Q27" s="655">
        <v>0</v>
      </c>
      <c r="R27" s="655">
        <v>0</v>
      </c>
      <c r="S27" s="655">
        <v>0</v>
      </c>
      <c r="T27" s="655">
        <v>0</v>
      </c>
      <c r="U27" s="655">
        <v>1473.75</v>
      </c>
      <c r="V27" s="655">
        <v>0</v>
      </c>
      <c r="W27" s="655">
        <v>0</v>
      </c>
      <c r="X27" s="655">
        <v>1300</v>
      </c>
      <c r="Y27" s="655" t="s">
        <v>54</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131</v>
      </c>
      <c r="N57" s="613">
        <f>SUM(N27:N56)</f>
        <v>589.5</v>
      </c>
      <c r="O57" s="613">
        <f t="shared" ref="O57:W57" si="2">SUM(O27:O56)</f>
        <v>663.1875</v>
      </c>
      <c r="P57" s="613">
        <f t="shared" si="2"/>
        <v>0</v>
      </c>
      <c r="Q57" s="613">
        <f t="shared" si="2"/>
        <v>0</v>
      </c>
      <c r="R57" s="613">
        <f t="shared" si="2"/>
        <v>0</v>
      </c>
      <c r="S57" s="613">
        <f t="shared" si="2"/>
        <v>0</v>
      </c>
      <c r="T57" s="613">
        <f t="shared" si="2"/>
        <v>0</v>
      </c>
      <c r="U57" s="613">
        <f t="shared" si="2"/>
        <v>1473.75</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131</v>
      </c>
      <c r="N59" s="613">
        <f ca="1">SUMIF($Z$27:AB56,"tertiair",N27:N56)</f>
        <v>589.5</v>
      </c>
      <c r="O59" s="613">
        <f ca="1">SUMIF($Z$27:AC56,"tertiair",O27:O56)</f>
        <v>663.1875</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1473.75</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35005</v>
      </c>
      <c r="C63" s="839">
        <v>8470</v>
      </c>
      <c r="D63" s="658" t="s">
        <v>901</v>
      </c>
      <c r="E63" s="658" t="s">
        <v>902</v>
      </c>
      <c r="F63" s="658" t="s">
        <v>903</v>
      </c>
      <c r="G63" s="658" t="s">
        <v>904</v>
      </c>
      <c r="H63" s="658" t="s">
        <v>905</v>
      </c>
      <c r="I63" s="658" t="s">
        <v>902</v>
      </c>
      <c r="J63" s="838">
        <v>38944</v>
      </c>
      <c r="K63" s="838">
        <v>39239</v>
      </c>
      <c r="L63" s="658" t="s">
        <v>906</v>
      </c>
      <c r="M63" s="658">
        <v>90</v>
      </c>
      <c r="N63" s="658">
        <v>405</v>
      </c>
      <c r="O63" s="658">
        <v>0</v>
      </c>
      <c r="P63" s="658">
        <v>0</v>
      </c>
      <c r="Q63" s="658">
        <v>0</v>
      </c>
      <c r="R63" s="658">
        <v>0</v>
      </c>
      <c r="S63" s="658">
        <v>0</v>
      </c>
      <c r="T63" s="658">
        <v>0</v>
      </c>
      <c r="U63" s="658">
        <v>1012.5</v>
      </c>
      <c r="V63" s="658">
        <v>0</v>
      </c>
      <c r="W63" s="658">
        <v>0</v>
      </c>
      <c r="X63" s="658">
        <v>10</v>
      </c>
      <c r="Y63" s="658" t="s">
        <v>112</v>
      </c>
      <c r="Z63" s="659" t="s">
        <v>112</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90</v>
      </c>
      <c r="N88" s="613">
        <f t="shared" ref="N88:W88" si="5">SUM(N63:N87)</f>
        <v>405</v>
      </c>
      <c r="O88" s="613">
        <f t="shared" si="5"/>
        <v>0</v>
      </c>
      <c r="P88" s="613">
        <f t="shared" si="5"/>
        <v>0</v>
      </c>
      <c r="Q88" s="613">
        <f t="shared" si="5"/>
        <v>0</v>
      </c>
      <c r="R88" s="613">
        <f t="shared" si="5"/>
        <v>0</v>
      </c>
      <c r="S88" s="613">
        <f t="shared" si="5"/>
        <v>0</v>
      </c>
      <c r="T88" s="613">
        <f t="shared" si="5"/>
        <v>0</v>
      </c>
      <c r="U88" s="613">
        <f t="shared" si="5"/>
        <v>1012.5</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90</v>
      </c>
      <c r="N91" s="618">
        <f t="shared" si="8"/>
        <v>405</v>
      </c>
      <c r="O91" s="618">
        <f t="shared" si="8"/>
        <v>0</v>
      </c>
      <c r="P91" s="618">
        <f t="shared" si="8"/>
        <v>0</v>
      </c>
      <c r="Q91" s="618">
        <f t="shared" si="8"/>
        <v>0</v>
      </c>
      <c r="R91" s="618">
        <f t="shared" si="8"/>
        <v>0</v>
      </c>
      <c r="S91" s="618">
        <f t="shared" si="8"/>
        <v>0</v>
      </c>
      <c r="T91" s="618">
        <f t="shared" si="8"/>
        <v>0</v>
      </c>
      <c r="U91" s="618">
        <f t="shared" si="8"/>
        <v>1012.5</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693.52941176470586</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780.22058823529414</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13832.508</v>
      </c>
      <c r="D10" s="702">
        <f ca="1">tertiair!C16</f>
        <v>663.1875</v>
      </c>
      <c r="E10" s="702">
        <f ca="1">tertiair!D16</f>
        <v>10605.117974000001</v>
      </c>
      <c r="F10" s="702">
        <f>tertiair!E16</f>
        <v>164.46792438708417</v>
      </c>
      <c r="G10" s="702">
        <f ca="1">tertiair!F16</f>
        <v>2415.8713719510729</v>
      </c>
      <c r="H10" s="702">
        <f>tertiair!G16</f>
        <v>0</v>
      </c>
      <c r="I10" s="702">
        <f>tertiair!H16</f>
        <v>0</v>
      </c>
      <c r="J10" s="702">
        <f>tertiair!I16</f>
        <v>0</v>
      </c>
      <c r="K10" s="702">
        <f>tertiair!J16</f>
        <v>0</v>
      </c>
      <c r="L10" s="702">
        <f>tertiair!K16</f>
        <v>0</v>
      </c>
      <c r="M10" s="702">
        <f ca="1">tertiair!L16</f>
        <v>0</v>
      </c>
      <c r="N10" s="702">
        <f>tertiair!M16</f>
        <v>0</v>
      </c>
      <c r="O10" s="702">
        <f ca="1">tertiair!N16</f>
        <v>525.6630383113752</v>
      </c>
      <c r="P10" s="702">
        <f>tertiair!O16</f>
        <v>0</v>
      </c>
      <c r="Q10" s="703">
        <f>tertiair!P16</f>
        <v>0</v>
      </c>
      <c r="R10" s="705">
        <f ca="1">SUM(C10:Q10)</f>
        <v>28206.815808649539</v>
      </c>
      <c r="S10" s="67"/>
    </row>
    <row r="11" spans="1:19" s="457" customFormat="1">
      <c r="A11" s="858" t="s">
        <v>226</v>
      </c>
      <c r="B11" s="863"/>
      <c r="C11" s="702">
        <f>huishoudens!B8</f>
        <v>23906.754929716833</v>
      </c>
      <c r="D11" s="702">
        <f>huishoudens!C8</f>
        <v>0</v>
      </c>
      <c r="E11" s="702">
        <f>huishoudens!D8</f>
        <v>53207.436677999998</v>
      </c>
      <c r="F11" s="702">
        <f>huishoudens!E8</f>
        <v>2525.1765397308782</v>
      </c>
      <c r="G11" s="702">
        <f>huishoudens!F8</f>
        <v>0</v>
      </c>
      <c r="H11" s="702">
        <f>huishoudens!G8</f>
        <v>0</v>
      </c>
      <c r="I11" s="702">
        <f>huishoudens!H8</f>
        <v>0</v>
      </c>
      <c r="J11" s="702">
        <f>huishoudens!I8</f>
        <v>0</v>
      </c>
      <c r="K11" s="702">
        <f>huishoudens!J8</f>
        <v>1104.4128617652052</v>
      </c>
      <c r="L11" s="702">
        <f>huishoudens!K8</f>
        <v>0</v>
      </c>
      <c r="M11" s="702">
        <f>huishoudens!L8</f>
        <v>0</v>
      </c>
      <c r="N11" s="702">
        <f>huishoudens!M8</f>
        <v>0</v>
      </c>
      <c r="O11" s="702">
        <f>huishoudens!N8</f>
        <v>12524.916891021465</v>
      </c>
      <c r="P11" s="702">
        <f>huishoudens!O8</f>
        <v>121.94000000000001</v>
      </c>
      <c r="Q11" s="703">
        <f>huishoudens!P8</f>
        <v>57.2</v>
      </c>
      <c r="R11" s="705">
        <f>SUM(C11:Q11)</f>
        <v>93447.837900234372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2962.3950000000004</v>
      </c>
      <c r="D13" s="702">
        <f>industrie!C18</f>
        <v>0</v>
      </c>
      <c r="E13" s="702">
        <f>industrie!D18</f>
        <v>6422.4041639999996</v>
      </c>
      <c r="F13" s="702">
        <f>industrie!E18</f>
        <v>54.919809337966541</v>
      </c>
      <c r="G13" s="702">
        <f>industrie!F18</f>
        <v>888.33293589414063</v>
      </c>
      <c r="H13" s="702">
        <f>industrie!G18</f>
        <v>0</v>
      </c>
      <c r="I13" s="702">
        <f>industrie!H18</f>
        <v>0</v>
      </c>
      <c r="J13" s="702">
        <f>industrie!I18</f>
        <v>0</v>
      </c>
      <c r="K13" s="702">
        <f>industrie!J18</f>
        <v>17.616834918052611</v>
      </c>
      <c r="L13" s="702">
        <f>industrie!K18</f>
        <v>0</v>
      </c>
      <c r="M13" s="702">
        <f>industrie!L18</f>
        <v>0</v>
      </c>
      <c r="N13" s="702">
        <f>industrie!M18</f>
        <v>0</v>
      </c>
      <c r="O13" s="702">
        <f>industrie!N18</f>
        <v>64.423595905418864</v>
      </c>
      <c r="P13" s="702">
        <f>industrie!O18</f>
        <v>0</v>
      </c>
      <c r="Q13" s="703">
        <f>industrie!P18</f>
        <v>0</v>
      </c>
      <c r="R13" s="705">
        <f>SUM(C13:Q13)</f>
        <v>10410.09234005558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40701.657929716835</v>
      </c>
      <c r="D15" s="707">
        <f t="shared" ref="D15:Q15" ca="1" si="0">SUM(D9:D14)</f>
        <v>663.1875</v>
      </c>
      <c r="E15" s="707">
        <f t="shared" ca="1" si="0"/>
        <v>70234.958815999998</v>
      </c>
      <c r="F15" s="707">
        <f t="shared" si="0"/>
        <v>2744.5642734559287</v>
      </c>
      <c r="G15" s="707">
        <f t="shared" ca="1" si="0"/>
        <v>3304.2043078452134</v>
      </c>
      <c r="H15" s="707">
        <f t="shared" si="0"/>
        <v>0</v>
      </c>
      <c r="I15" s="707">
        <f t="shared" si="0"/>
        <v>0</v>
      </c>
      <c r="J15" s="707">
        <f t="shared" si="0"/>
        <v>0</v>
      </c>
      <c r="K15" s="707">
        <f t="shared" si="0"/>
        <v>1122.0296966832577</v>
      </c>
      <c r="L15" s="707">
        <f t="shared" si="0"/>
        <v>0</v>
      </c>
      <c r="M15" s="707">
        <f t="shared" ca="1" si="0"/>
        <v>0</v>
      </c>
      <c r="N15" s="707">
        <f t="shared" si="0"/>
        <v>0</v>
      </c>
      <c r="O15" s="707">
        <f t="shared" ca="1" si="0"/>
        <v>13115.003525238259</v>
      </c>
      <c r="P15" s="707">
        <f t="shared" si="0"/>
        <v>121.94000000000001</v>
      </c>
      <c r="Q15" s="708">
        <f t="shared" si="0"/>
        <v>57.2</v>
      </c>
      <c r="R15" s="709">
        <f ca="1">SUM(R9:R14)</f>
        <v>132064.7460489395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1545.6092035045172</v>
      </c>
      <c r="I18" s="702">
        <f>transport!H54</f>
        <v>0</v>
      </c>
      <c r="J18" s="702">
        <f>transport!I54</f>
        <v>0</v>
      </c>
      <c r="K18" s="702">
        <f>transport!J54</f>
        <v>0</v>
      </c>
      <c r="L18" s="702">
        <f>transport!K54</f>
        <v>0</v>
      </c>
      <c r="M18" s="702">
        <f>transport!L54</f>
        <v>0</v>
      </c>
      <c r="N18" s="702">
        <f>transport!M54</f>
        <v>65.882605482431515</v>
      </c>
      <c r="O18" s="702">
        <f>transport!N54</f>
        <v>0</v>
      </c>
      <c r="P18" s="702">
        <f>transport!O54</f>
        <v>0</v>
      </c>
      <c r="Q18" s="703">
        <f>transport!P54</f>
        <v>0</v>
      </c>
      <c r="R18" s="705">
        <f>SUM(C18:Q18)</f>
        <v>1611.4918089869486</v>
      </c>
      <c r="S18" s="67"/>
    </row>
    <row r="19" spans="1:19" s="457" customFormat="1" ht="15" thickBot="1">
      <c r="A19" s="858" t="s">
        <v>308</v>
      </c>
      <c r="B19" s="863"/>
      <c r="C19" s="711">
        <f>transport!B14</f>
        <v>1.2238267745792282</v>
      </c>
      <c r="D19" s="711">
        <f>transport!C14</f>
        <v>0</v>
      </c>
      <c r="E19" s="711">
        <f>transport!D14</f>
        <v>5.6668477488420388</v>
      </c>
      <c r="F19" s="711">
        <f>transport!E14</f>
        <v>665.39741943754541</v>
      </c>
      <c r="G19" s="711">
        <f>transport!F14</f>
        <v>0</v>
      </c>
      <c r="H19" s="711">
        <f>transport!G14</f>
        <v>145027.04099174702</v>
      </c>
      <c r="I19" s="711">
        <f>transport!H14</f>
        <v>19598.550340565518</v>
      </c>
      <c r="J19" s="711">
        <f>transport!I14</f>
        <v>0</v>
      </c>
      <c r="K19" s="711">
        <f>transport!J14</f>
        <v>0</v>
      </c>
      <c r="L19" s="711">
        <f>transport!K14</f>
        <v>0</v>
      </c>
      <c r="M19" s="711">
        <f>transport!L14</f>
        <v>0</v>
      </c>
      <c r="N19" s="711">
        <f>transport!M14</f>
        <v>7169.3283541433557</v>
      </c>
      <c r="O19" s="711">
        <f>transport!N14</f>
        <v>0</v>
      </c>
      <c r="P19" s="711">
        <f>transport!O14</f>
        <v>0</v>
      </c>
      <c r="Q19" s="712">
        <f>transport!P14</f>
        <v>0</v>
      </c>
      <c r="R19" s="713">
        <f>SUM(C19:Q19)</f>
        <v>172467.20778041688</v>
      </c>
      <c r="S19" s="67"/>
    </row>
    <row r="20" spans="1:19" s="457" customFormat="1" ht="15.75" thickBot="1">
      <c r="A20" s="714" t="s">
        <v>231</v>
      </c>
      <c r="B20" s="866"/>
      <c r="C20" s="861">
        <f>SUM(C17:C19)</f>
        <v>1.2238267745792282</v>
      </c>
      <c r="D20" s="715">
        <f t="shared" ref="D20:R20" si="1">SUM(D17:D19)</f>
        <v>0</v>
      </c>
      <c r="E20" s="715">
        <f t="shared" si="1"/>
        <v>5.6668477488420388</v>
      </c>
      <c r="F20" s="715">
        <f t="shared" si="1"/>
        <v>665.39741943754541</v>
      </c>
      <c r="G20" s="715">
        <f t="shared" si="1"/>
        <v>0</v>
      </c>
      <c r="H20" s="715">
        <f t="shared" si="1"/>
        <v>146572.65019525154</v>
      </c>
      <c r="I20" s="715">
        <f t="shared" si="1"/>
        <v>19598.550340565518</v>
      </c>
      <c r="J20" s="715">
        <f t="shared" si="1"/>
        <v>0</v>
      </c>
      <c r="K20" s="715">
        <f t="shared" si="1"/>
        <v>0</v>
      </c>
      <c r="L20" s="715">
        <f t="shared" si="1"/>
        <v>0</v>
      </c>
      <c r="M20" s="715">
        <f t="shared" si="1"/>
        <v>0</v>
      </c>
      <c r="N20" s="715">
        <f t="shared" si="1"/>
        <v>7235.2109596257869</v>
      </c>
      <c r="O20" s="715">
        <f t="shared" si="1"/>
        <v>0</v>
      </c>
      <c r="P20" s="715">
        <f t="shared" si="1"/>
        <v>0</v>
      </c>
      <c r="Q20" s="716">
        <f t="shared" si="1"/>
        <v>0</v>
      </c>
      <c r="R20" s="717">
        <f t="shared" si="1"/>
        <v>174078.69958940384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2751.6889999999999</v>
      </c>
      <c r="D22" s="711">
        <f>+landbouw!C8</f>
        <v>0</v>
      </c>
      <c r="E22" s="711">
        <f>+landbouw!D8</f>
        <v>1116.42344</v>
      </c>
      <c r="F22" s="711">
        <f>+landbouw!E8</f>
        <v>28.816282924375322</v>
      </c>
      <c r="G22" s="711">
        <f>+landbouw!F8</f>
        <v>14133.112839665417</v>
      </c>
      <c r="H22" s="711">
        <f>+landbouw!G8</f>
        <v>0</v>
      </c>
      <c r="I22" s="711">
        <f>+landbouw!H8</f>
        <v>0</v>
      </c>
      <c r="J22" s="711">
        <f>+landbouw!I8</f>
        <v>0</v>
      </c>
      <c r="K22" s="711">
        <f>+landbouw!J8</f>
        <v>245.75049150926316</v>
      </c>
      <c r="L22" s="711">
        <f>+landbouw!K8</f>
        <v>0</v>
      </c>
      <c r="M22" s="711">
        <f>+landbouw!L8</f>
        <v>0</v>
      </c>
      <c r="N22" s="711">
        <f>+landbouw!M8</f>
        <v>0</v>
      </c>
      <c r="O22" s="711">
        <f>+landbouw!N8</f>
        <v>0</v>
      </c>
      <c r="P22" s="711">
        <f>+landbouw!O8</f>
        <v>0</v>
      </c>
      <c r="Q22" s="712">
        <f>+landbouw!P8</f>
        <v>0</v>
      </c>
      <c r="R22" s="713">
        <f>SUM(C22:Q22)</f>
        <v>18275.792054099053</v>
      </c>
      <c r="S22" s="67"/>
    </row>
    <row r="23" spans="1:19" s="457" customFormat="1" ht="17.25" thickTop="1" thickBot="1">
      <c r="A23" s="718" t="s">
        <v>116</v>
      </c>
      <c r="B23" s="852"/>
      <c r="C23" s="719">
        <f ca="1">C20+C15+C22</f>
        <v>43454.570756491412</v>
      </c>
      <c r="D23" s="719">
        <f t="shared" ref="D23:Q23" ca="1" si="2">D20+D15+D22</f>
        <v>663.1875</v>
      </c>
      <c r="E23" s="719">
        <f t="shared" ca="1" si="2"/>
        <v>71357.049103748839</v>
      </c>
      <c r="F23" s="719">
        <f t="shared" si="2"/>
        <v>3438.7779758178494</v>
      </c>
      <c r="G23" s="719">
        <f t="shared" ca="1" si="2"/>
        <v>17437.317147510628</v>
      </c>
      <c r="H23" s="719">
        <f t="shared" si="2"/>
        <v>146572.65019525154</v>
      </c>
      <c r="I23" s="719">
        <f t="shared" si="2"/>
        <v>19598.550340565518</v>
      </c>
      <c r="J23" s="719">
        <f t="shared" si="2"/>
        <v>0</v>
      </c>
      <c r="K23" s="719">
        <f t="shared" si="2"/>
        <v>1367.7801881925209</v>
      </c>
      <c r="L23" s="719">
        <f t="shared" si="2"/>
        <v>0</v>
      </c>
      <c r="M23" s="719">
        <f t="shared" ca="1" si="2"/>
        <v>0</v>
      </c>
      <c r="N23" s="719">
        <f t="shared" si="2"/>
        <v>7235.2109596257869</v>
      </c>
      <c r="O23" s="719">
        <f t="shared" ca="1" si="2"/>
        <v>13115.003525238259</v>
      </c>
      <c r="P23" s="719">
        <f t="shared" si="2"/>
        <v>121.94000000000001</v>
      </c>
      <c r="Q23" s="720">
        <f t="shared" si="2"/>
        <v>57.2</v>
      </c>
      <c r="R23" s="721">
        <f ca="1">R20+R15+R22</f>
        <v>324419.23769244237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1223.2931806113388</v>
      </c>
      <c r="D36" s="702">
        <f ca="1">tertiair!C20</f>
        <v>0</v>
      </c>
      <c r="E36" s="702">
        <f ca="1">tertiair!D20</f>
        <v>2142.2338307480004</v>
      </c>
      <c r="F36" s="702">
        <f>tertiair!E20</f>
        <v>37.334218835868107</v>
      </c>
      <c r="G36" s="702">
        <f ca="1">tertiair!F20</f>
        <v>645.03765631093654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4047.8988865061438</v>
      </c>
    </row>
    <row r="37" spans="1:18">
      <c r="A37" s="873" t="s">
        <v>226</v>
      </c>
      <c r="B37" s="880"/>
      <c r="C37" s="702">
        <f ca="1">huishoudens!B12</f>
        <v>2114.2203768159111</v>
      </c>
      <c r="D37" s="702">
        <f ca="1">huishoudens!C12</f>
        <v>0</v>
      </c>
      <c r="E37" s="702">
        <f>huishoudens!D12</f>
        <v>10747.902208956</v>
      </c>
      <c r="F37" s="702">
        <f>huishoudens!E12</f>
        <v>573.21507451890932</v>
      </c>
      <c r="G37" s="702">
        <f>huishoudens!F12</f>
        <v>0</v>
      </c>
      <c r="H37" s="702">
        <f>huishoudens!G12</f>
        <v>0</v>
      </c>
      <c r="I37" s="702">
        <f>huishoudens!H12</f>
        <v>0</v>
      </c>
      <c r="J37" s="702">
        <f>huishoudens!I12</f>
        <v>0</v>
      </c>
      <c r="K37" s="702">
        <f>huishoudens!J12</f>
        <v>390.96215306488261</v>
      </c>
      <c r="L37" s="702">
        <f>huishoudens!K12</f>
        <v>0</v>
      </c>
      <c r="M37" s="702">
        <f>huishoudens!L12</f>
        <v>0</v>
      </c>
      <c r="N37" s="702">
        <f>huishoudens!M12</f>
        <v>0</v>
      </c>
      <c r="O37" s="702">
        <f>huishoudens!N12</f>
        <v>0</v>
      </c>
      <c r="P37" s="702">
        <f>huishoudens!O12</f>
        <v>0</v>
      </c>
      <c r="Q37" s="812">
        <f>huishoudens!P12</f>
        <v>0</v>
      </c>
      <c r="R37" s="905">
        <f ca="1">SUM(C37:Q37)</f>
        <v>13826.299813355703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261.98268613162037</v>
      </c>
      <c r="D39" s="702">
        <f ca="1">industrie!C22</f>
        <v>0</v>
      </c>
      <c r="E39" s="702">
        <f>industrie!D22</f>
        <v>1297.3256411279999</v>
      </c>
      <c r="F39" s="702">
        <f>industrie!E22</f>
        <v>12.466796719718404</v>
      </c>
      <c r="G39" s="702">
        <f>industrie!F22</f>
        <v>237.18489388373555</v>
      </c>
      <c r="H39" s="702">
        <f>industrie!G22</f>
        <v>0</v>
      </c>
      <c r="I39" s="702">
        <f>industrie!H22</f>
        <v>0</v>
      </c>
      <c r="J39" s="702">
        <f>industrie!I22</f>
        <v>0</v>
      </c>
      <c r="K39" s="702">
        <f>industrie!J22</f>
        <v>6.2363595609906239</v>
      </c>
      <c r="L39" s="702">
        <f>industrie!K22</f>
        <v>0</v>
      </c>
      <c r="M39" s="702">
        <f>industrie!L22</f>
        <v>0</v>
      </c>
      <c r="N39" s="702">
        <f>industrie!M22</f>
        <v>0</v>
      </c>
      <c r="O39" s="702">
        <f>industrie!N22</f>
        <v>0</v>
      </c>
      <c r="P39" s="702">
        <f>industrie!O22</f>
        <v>0</v>
      </c>
      <c r="Q39" s="812">
        <f>industrie!P22</f>
        <v>0</v>
      </c>
      <c r="R39" s="906">
        <f ca="1">SUM(C39:Q39)</f>
        <v>1815.1963774240648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3599.4962435588704</v>
      </c>
      <c r="D41" s="747">
        <f t="shared" ref="D41:R41" ca="1" si="4">SUM(D35:D40)</f>
        <v>0</v>
      </c>
      <c r="E41" s="747">
        <f t="shared" ca="1" si="4"/>
        <v>14187.461680832001</v>
      </c>
      <c r="F41" s="747">
        <f t="shared" si="4"/>
        <v>623.01609007449588</v>
      </c>
      <c r="G41" s="747">
        <f t="shared" ca="1" si="4"/>
        <v>882.22255019467207</v>
      </c>
      <c r="H41" s="747">
        <f t="shared" si="4"/>
        <v>0</v>
      </c>
      <c r="I41" s="747">
        <f t="shared" si="4"/>
        <v>0</v>
      </c>
      <c r="J41" s="747">
        <f t="shared" si="4"/>
        <v>0</v>
      </c>
      <c r="K41" s="747">
        <f t="shared" si="4"/>
        <v>397.19851262587326</v>
      </c>
      <c r="L41" s="747">
        <f t="shared" si="4"/>
        <v>0</v>
      </c>
      <c r="M41" s="747">
        <f t="shared" ca="1" si="4"/>
        <v>0</v>
      </c>
      <c r="N41" s="747">
        <f t="shared" si="4"/>
        <v>0</v>
      </c>
      <c r="O41" s="747">
        <f t="shared" ca="1" si="4"/>
        <v>0</v>
      </c>
      <c r="P41" s="747">
        <f t="shared" si="4"/>
        <v>0</v>
      </c>
      <c r="Q41" s="748">
        <f t="shared" si="4"/>
        <v>0</v>
      </c>
      <c r="R41" s="749">
        <f t="shared" ca="1" si="4"/>
        <v>19689.39507728591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412.6776573357061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412.6776573357061</v>
      </c>
    </row>
    <row r="45" spans="1:18" ht="15" thickBot="1">
      <c r="A45" s="876" t="s">
        <v>308</v>
      </c>
      <c r="B45" s="886"/>
      <c r="C45" s="711">
        <f ca="1">transport!B18</f>
        <v>0.10823047762505107</v>
      </c>
      <c r="D45" s="711">
        <f>transport!C18</f>
        <v>0</v>
      </c>
      <c r="E45" s="711">
        <f>transport!D18</f>
        <v>1.1447032452660919</v>
      </c>
      <c r="F45" s="711">
        <f>transport!E18</f>
        <v>151.0452142123228</v>
      </c>
      <c r="G45" s="711">
        <f>transport!F18</f>
        <v>0</v>
      </c>
      <c r="H45" s="711">
        <f>transport!G18</f>
        <v>38722.219944796459</v>
      </c>
      <c r="I45" s="711">
        <f>transport!H18</f>
        <v>4880.0390348008141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43754.557127532491</v>
      </c>
    </row>
    <row r="46" spans="1:18" ht="15.75" thickBot="1">
      <c r="A46" s="874" t="s">
        <v>231</v>
      </c>
      <c r="B46" s="887"/>
      <c r="C46" s="747">
        <f t="shared" ref="C46:R46" ca="1" si="5">SUM(C43:C45)</f>
        <v>0.10823047762505107</v>
      </c>
      <c r="D46" s="747">
        <f t="shared" ca="1" si="5"/>
        <v>0</v>
      </c>
      <c r="E46" s="747">
        <f t="shared" si="5"/>
        <v>1.1447032452660919</v>
      </c>
      <c r="F46" s="747">
        <f t="shared" si="5"/>
        <v>151.0452142123228</v>
      </c>
      <c r="G46" s="747">
        <f t="shared" si="5"/>
        <v>0</v>
      </c>
      <c r="H46" s="747">
        <f t="shared" si="5"/>
        <v>39134.897602132165</v>
      </c>
      <c r="I46" s="747">
        <f t="shared" si="5"/>
        <v>4880.0390348008141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44167.234784868197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243.34866741904173</v>
      </c>
      <c r="D48" s="702">
        <f ca="1">+landbouw!C12</f>
        <v>0</v>
      </c>
      <c r="E48" s="702">
        <f>+landbouw!D12</f>
        <v>225.51753488000003</v>
      </c>
      <c r="F48" s="702">
        <f>+landbouw!E12</f>
        <v>6.5412962238331982</v>
      </c>
      <c r="G48" s="702">
        <f>+landbouw!F12</f>
        <v>3773.5411281906663</v>
      </c>
      <c r="H48" s="702">
        <f>+landbouw!G12</f>
        <v>0</v>
      </c>
      <c r="I48" s="702">
        <f>+landbouw!H12</f>
        <v>0</v>
      </c>
      <c r="J48" s="702">
        <f>+landbouw!I12</f>
        <v>0</v>
      </c>
      <c r="K48" s="702">
        <f>+landbouw!J12</f>
        <v>86.995673994279159</v>
      </c>
      <c r="L48" s="702">
        <f>+landbouw!K12</f>
        <v>0</v>
      </c>
      <c r="M48" s="702">
        <f>+landbouw!L12</f>
        <v>0</v>
      </c>
      <c r="N48" s="702">
        <f>+landbouw!M12</f>
        <v>0</v>
      </c>
      <c r="O48" s="702">
        <f>+landbouw!N12</f>
        <v>0</v>
      </c>
      <c r="P48" s="702">
        <f>+landbouw!O12</f>
        <v>0</v>
      </c>
      <c r="Q48" s="703">
        <f>+landbouw!P12</f>
        <v>0</v>
      </c>
      <c r="R48" s="745">
        <f ca="1">SUM(C48:Q48)</f>
        <v>4335.9443007078207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3842.9531414555372</v>
      </c>
      <c r="D53" s="757">
        <f t="shared" ref="D53:Q53" ca="1" si="6">D41+D46+D48</f>
        <v>0</v>
      </c>
      <c r="E53" s="757">
        <f t="shared" ca="1" si="6"/>
        <v>14414.123918957266</v>
      </c>
      <c r="F53" s="757">
        <f t="shared" si="6"/>
        <v>780.60260051065188</v>
      </c>
      <c r="G53" s="757">
        <f t="shared" ca="1" si="6"/>
        <v>4655.7636783853386</v>
      </c>
      <c r="H53" s="757">
        <f t="shared" si="6"/>
        <v>39134.897602132165</v>
      </c>
      <c r="I53" s="757">
        <f t="shared" si="6"/>
        <v>4880.0390348008141</v>
      </c>
      <c r="J53" s="757">
        <f t="shared" si="6"/>
        <v>0</v>
      </c>
      <c r="K53" s="757">
        <f t="shared" si="6"/>
        <v>484.19418662015244</v>
      </c>
      <c r="L53" s="757">
        <f t="shared" si="6"/>
        <v>0</v>
      </c>
      <c r="M53" s="757">
        <f t="shared" ca="1" si="6"/>
        <v>0</v>
      </c>
      <c r="N53" s="757">
        <f t="shared" si="6"/>
        <v>0</v>
      </c>
      <c r="O53" s="757">
        <f t="shared" ca="1" si="6"/>
        <v>0</v>
      </c>
      <c r="P53" s="757">
        <f>P41+P46+P48</f>
        <v>0</v>
      </c>
      <c r="Q53" s="758">
        <f t="shared" si="6"/>
        <v>0</v>
      </c>
      <c r="R53" s="759">
        <f ca="1">R41+R46+R48</f>
        <v>68192.574162861929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8.8436108666001767E-2</v>
      </c>
      <c r="D55" s="823">
        <f t="shared" ca="1" si="7"/>
        <v>0</v>
      </c>
      <c r="E55" s="823">
        <f t="shared" ca="1" si="7"/>
        <v>0.20200000000000001</v>
      </c>
      <c r="F55" s="823">
        <f t="shared" si="7"/>
        <v>0.22700000000000001</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22795.78749602567</v>
      </c>
      <c r="C64" s="779">
        <f>'lokale energieproductie'!B4</f>
        <v>22795.78749602567</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2275.3550185854829</v>
      </c>
      <c r="C66" s="779">
        <f>'lokale energieproductie'!B6</f>
        <v>2275.3550185854829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589.5</v>
      </c>
      <c r="C67" s="778">
        <f>B67*IFERROR(SUM(J67:L67)/SUM(D67:M67),0)</f>
        <v>589.5</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693.52941176470586</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405</v>
      </c>
      <c r="C68" s="778">
        <f>B68*IFERROR(SUM(J68:L68)/SUM(D68:M68),0)</f>
        <v>405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1012.5</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26065.642514611154</v>
      </c>
      <c r="C69" s="787">
        <f>SUM(C64:C68)</f>
        <v>26065.642514611154</v>
      </c>
      <c r="D69" s="788">
        <f t="shared" ref="D69:M69" si="8">SUM(D67:D68)</f>
        <v>0</v>
      </c>
      <c r="E69" s="788">
        <f t="shared" si="8"/>
        <v>0</v>
      </c>
      <c r="F69" s="788">
        <f t="shared" si="8"/>
        <v>0</v>
      </c>
      <c r="G69" s="788">
        <f t="shared" si="8"/>
        <v>0</v>
      </c>
      <c r="H69" s="788">
        <f t="shared" si="8"/>
        <v>0</v>
      </c>
      <c r="I69" s="788">
        <f t="shared" si="8"/>
        <v>0</v>
      </c>
      <c r="J69" s="788">
        <f t="shared" si="8"/>
        <v>1706.0294117647059</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663.1875</v>
      </c>
      <c r="C78" s="801">
        <f>B78*IFERROR(SUM(I78:L78)/SUM(D78:M78),0)</f>
        <v>663.1875</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780.22058823529414</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663.1875</v>
      </c>
      <c r="C81" s="787">
        <f>SUM(C78:C80)</f>
        <v>663.1875</v>
      </c>
      <c r="D81" s="787">
        <f t="shared" ref="D81:P81" si="9">SUM(D78:D80)</f>
        <v>0</v>
      </c>
      <c r="E81" s="787">
        <f t="shared" si="9"/>
        <v>0</v>
      </c>
      <c r="F81" s="787">
        <f t="shared" si="9"/>
        <v>0</v>
      </c>
      <c r="G81" s="787">
        <f t="shared" si="9"/>
        <v>0</v>
      </c>
      <c r="H81" s="787">
        <f t="shared" si="9"/>
        <v>0</v>
      </c>
      <c r="I81" s="787">
        <f t="shared" si="9"/>
        <v>0</v>
      </c>
      <c r="J81" s="787">
        <f t="shared" si="9"/>
        <v>780.22058823529414</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23906.754929716833</v>
      </c>
      <c r="C4" s="461">
        <f>huishoudens!C8</f>
        <v>0</v>
      </c>
      <c r="D4" s="461">
        <f>huishoudens!D8</f>
        <v>53207.436677999998</v>
      </c>
      <c r="E4" s="461">
        <f>huishoudens!E8</f>
        <v>2525.1765397308782</v>
      </c>
      <c r="F4" s="461">
        <f>huishoudens!F8</f>
        <v>0</v>
      </c>
      <c r="G4" s="461">
        <f>huishoudens!G8</f>
        <v>0</v>
      </c>
      <c r="H4" s="461">
        <f>huishoudens!H8</f>
        <v>0</v>
      </c>
      <c r="I4" s="461">
        <f>huishoudens!I8</f>
        <v>0</v>
      </c>
      <c r="J4" s="461">
        <f>huishoudens!J8</f>
        <v>1104.4128617652052</v>
      </c>
      <c r="K4" s="461">
        <f>huishoudens!K8</f>
        <v>0</v>
      </c>
      <c r="L4" s="461">
        <f>huishoudens!L8</f>
        <v>0</v>
      </c>
      <c r="M4" s="461">
        <f>huishoudens!M8</f>
        <v>0</v>
      </c>
      <c r="N4" s="461">
        <f>huishoudens!N8</f>
        <v>12524.916891021465</v>
      </c>
      <c r="O4" s="461">
        <f>huishoudens!O8</f>
        <v>121.94000000000001</v>
      </c>
      <c r="P4" s="462">
        <f>huishoudens!P8</f>
        <v>57.2</v>
      </c>
      <c r="Q4" s="463">
        <f>SUM(B4:P4)</f>
        <v>93447.837900234372</v>
      </c>
    </row>
    <row r="5" spans="1:17">
      <c r="A5" s="460" t="s">
        <v>156</v>
      </c>
      <c r="B5" s="461">
        <f ca="1">tertiair!B16</f>
        <v>12937.938</v>
      </c>
      <c r="C5" s="461">
        <f ca="1">tertiair!C16</f>
        <v>663.1875</v>
      </c>
      <c r="D5" s="461">
        <f ca="1">tertiair!D16</f>
        <v>10605.117974000001</v>
      </c>
      <c r="E5" s="461">
        <f>tertiair!E16</f>
        <v>164.46792438708417</v>
      </c>
      <c r="F5" s="461">
        <f ca="1">tertiair!F16</f>
        <v>2415.8713719510729</v>
      </c>
      <c r="G5" s="461">
        <f>tertiair!G16</f>
        <v>0</v>
      </c>
      <c r="H5" s="461">
        <f>tertiair!H16</f>
        <v>0</v>
      </c>
      <c r="I5" s="461">
        <f>tertiair!I16</f>
        <v>0</v>
      </c>
      <c r="J5" s="461">
        <f>tertiair!J16</f>
        <v>0</v>
      </c>
      <c r="K5" s="461">
        <f>tertiair!K16</f>
        <v>0</v>
      </c>
      <c r="L5" s="461">
        <f ca="1">tertiair!L16</f>
        <v>0</v>
      </c>
      <c r="M5" s="461">
        <f>tertiair!M16</f>
        <v>0</v>
      </c>
      <c r="N5" s="461">
        <f ca="1">tertiair!N16</f>
        <v>525.6630383113752</v>
      </c>
      <c r="O5" s="461">
        <f>tertiair!O16</f>
        <v>0</v>
      </c>
      <c r="P5" s="462">
        <f>tertiair!P16</f>
        <v>0</v>
      </c>
      <c r="Q5" s="460">
        <f t="shared" ref="Q5:Q13" ca="1" si="0">SUM(B5:P5)</f>
        <v>27312.245808649539</v>
      </c>
    </row>
    <row r="6" spans="1:17">
      <c r="A6" s="460" t="s">
        <v>195</v>
      </c>
      <c r="B6" s="461">
        <f>'openbare verlichting'!B8</f>
        <v>894.57</v>
      </c>
      <c r="C6" s="461"/>
      <c r="D6" s="461"/>
      <c r="E6" s="461"/>
      <c r="F6" s="461"/>
      <c r="G6" s="461"/>
      <c r="H6" s="461"/>
      <c r="I6" s="461"/>
      <c r="J6" s="461"/>
      <c r="K6" s="461"/>
      <c r="L6" s="461"/>
      <c r="M6" s="461"/>
      <c r="N6" s="461"/>
      <c r="O6" s="461"/>
      <c r="P6" s="462"/>
      <c r="Q6" s="460">
        <f t="shared" si="0"/>
        <v>894.57</v>
      </c>
    </row>
    <row r="7" spans="1:17">
      <c r="A7" s="460" t="s">
        <v>112</v>
      </c>
      <c r="B7" s="461">
        <f>landbouw!B8</f>
        <v>2751.6889999999999</v>
      </c>
      <c r="C7" s="461">
        <f>landbouw!C8</f>
        <v>0</v>
      </c>
      <c r="D7" s="461">
        <f>landbouw!D8</f>
        <v>1116.42344</v>
      </c>
      <c r="E7" s="461">
        <f>landbouw!E8</f>
        <v>28.816282924375322</v>
      </c>
      <c r="F7" s="461">
        <f>landbouw!F8</f>
        <v>14133.112839665417</v>
      </c>
      <c r="G7" s="461">
        <f>landbouw!G8</f>
        <v>0</v>
      </c>
      <c r="H7" s="461">
        <f>landbouw!H8</f>
        <v>0</v>
      </c>
      <c r="I7" s="461">
        <f>landbouw!I8</f>
        <v>0</v>
      </c>
      <c r="J7" s="461">
        <f>landbouw!J8</f>
        <v>245.75049150926316</v>
      </c>
      <c r="K7" s="461">
        <f>landbouw!K8</f>
        <v>0</v>
      </c>
      <c r="L7" s="461">
        <f>landbouw!L8</f>
        <v>0</v>
      </c>
      <c r="M7" s="461">
        <f>landbouw!M8</f>
        <v>0</v>
      </c>
      <c r="N7" s="461">
        <f>landbouw!N8</f>
        <v>0</v>
      </c>
      <c r="O7" s="461">
        <f>landbouw!O8</f>
        <v>0</v>
      </c>
      <c r="P7" s="462">
        <f>landbouw!P8</f>
        <v>0</v>
      </c>
      <c r="Q7" s="460">
        <f t="shared" si="0"/>
        <v>18275.792054099053</v>
      </c>
    </row>
    <row r="8" spans="1:17">
      <c r="A8" s="460" t="s">
        <v>656</v>
      </c>
      <c r="B8" s="461">
        <f>industrie!B18</f>
        <v>2962.3950000000004</v>
      </c>
      <c r="C8" s="461">
        <f>industrie!C18</f>
        <v>0</v>
      </c>
      <c r="D8" s="461">
        <f>industrie!D18</f>
        <v>6422.4041639999996</v>
      </c>
      <c r="E8" s="461">
        <f>industrie!E18</f>
        <v>54.919809337966541</v>
      </c>
      <c r="F8" s="461">
        <f>industrie!F18</f>
        <v>888.33293589414063</v>
      </c>
      <c r="G8" s="461">
        <f>industrie!G18</f>
        <v>0</v>
      </c>
      <c r="H8" s="461">
        <f>industrie!H18</f>
        <v>0</v>
      </c>
      <c r="I8" s="461">
        <f>industrie!I18</f>
        <v>0</v>
      </c>
      <c r="J8" s="461">
        <f>industrie!J18</f>
        <v>17.616834918052611</v>
      </c>
      <c r="K8" s="461">
        <f>industrie!K18</f>
        <v>0</v>
      </c>
      <c r="L8" s="461">
        <f>industrie!L18</f>
        <v>0</v>
      </c>
      <c r="M8" s="461">
        <f>industrie!M18</f>
        <v>0</v>
      </c>
      <c r="N8" s="461">
        <f>industrie!N18</f>
        <v>64.423595905418864</v>
      </c>
      <c r="O8" s="461">
        <f>industrie!O18</f>
        <v>0</v>
      </c>
      <c r="P8" s="462">
        <f>industrie!P18</f>
        <v>0</v>
      </c>
      <c r="Q8" s="460">
        <f t="shared" si="0"/>
        <v>10410.09234005558</v>
      </c>
    </row>
    <row r="9" spans="1:17" s="466" customFormat="1">
      <c r="A9" s="464" t="s">
        <v>574</v>
      </c>
      <c r="B9" s="465">
        <f>transport!B14</f>
        <v>1.2238267745792282</v>
      </c>
      <c r="C9" s="465">
        <f>transport!C14</f>
        <v>0</v>
      </c>
      <c r="D9" s="465">
        <f>transport!D14</f>
        <v>5.6668477488420388</v>
      </c>
      <c r="E9" s="465">
        <f>transport!E14</f>
        <v>665.39741943754541</v>
      </c>
      <c r="F9" s="465">
        <f>transport!F14</f>
        <v>0</v>
      </c>
      <c r="G9" s="465">
        <f>transport!G14</f>
        <v>145027.04099174702</v>
      </c>
      <c r="H9" s="465">
        <f>transport!H14</f>
        <v>19598.550340565518</v>
      </c>
      <c r="I9" s="465">
        <f>transport!I14</f>
        <v>0</v>
      </c>
      <c r="J9" s="465">
        <f>transport!J14</f>
        <v>0</v>
      </c>
      <c r="K9" s="465">
        <f>transport!K14</f>
        <v>0</v>
      </c>
      <c r="L9" s="465">
        <f>transport!L14</f>
        <v>0</v>
      </c>
      <c r="M9" s="465">
        <f>transport!M14</f>
        <v>7169.3283541433557</v>
      </c>
      <c r="N9" s="465">
        <f>transport!N14</f>
        <v>0</v>
      </c>
      <c r="O9" s="465">
        <f>transport!O14</f>
        <v>0</v>
      </c>
      <c r="P9" s="465">
        <f>transport!P14</f>
        <v>0</v>
      </c>
      <c r="Q9" s="464">
        <f>SUM(B9:P9)</f>
        <v>172467.20778041688</v>
      </c>
    </row>
    <row r="10" spans="1:17">
      <c r="A10" s="460" t="s">
        <v>564</v>
      </c>
      <c r="B10" s="461">
        <f>transport!B54</f>
        <v>0</v>
      </c>
      <c r="C10" s="461">
        <f>transport!C54</f>
        <v>0</v>
      </c>
      <c r="D10" s="461">
        <f>transport!D54</f>
        <v>0</v>
      </c>
      <c r="E10" s="461">
        <f>transport!E54</f>
        <v>0</v>
      </c>
      <c r="F10" s="461">
        <f>transport!F54</f>
        <v>0</v>
      </c>
      <c r="G10" s="461">
        <f>transport!G54</f>
        <v>1545.6092035045172</v>
      </c>
      <c r="H10" s="461">
        <f>transport!H54</f>
        <v>0</v>
      </c>
      <c r="I10" s="461">
        <f>transport!I54</f>
        <v>0</v>
      </c>
      <c r="J10" s="461">
        <f>transport!J54</f>
        <v>0</v>
      </c>
      <c r="K10" s="461">
        <f>transport!K54</f>
        <v>0</v>
      </c>
      <c r="L10" s="461">
        <f>transport!L54</f>
        <v>0</v>
      </c>
      <c r="M10" s="461">
        <f>transport!M54</f>
        <v>65.882605482431515</v>
      </c>
      <c r="N10" s="461">
        <f>transport!N54</f>
        <v>0</v>
      </c>
      <c r="O10" s="461">
        <f>transport!O54</f>
        <v>0</v>
      </c>
      <c r="P10" s="462">
        <f>transport!P54</f>
        <v>0</v>
      </c>
      <c r="Q10" s="460">
        <f t="shared" si="0"/>
        <v>1611.4918089869486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43454.570756491412</v>
      </c>
      <c r="C14" s="471">
        <f t="shared" ref="C14:Q14" ca="1" si="1">SUM(C4:C13)</f>
        <v>663.1875</v>
      </c>
      <c r="D14" s="471">
        <f t="shared" ca="1" si="1"/>
        <v>71357.049103748839</v>
      </c>
      <c r="E14" s="471">
        <f t="shared" si="1"/>
        <v>3438.7779758178494</v>
      </c>
      <c r="F14" s="471">
        <f t="shared" ca="1" si="1"/>
        <v>17437.317147510632</v>
      </c>
      <c r="G14" s="471">
        <f t="shared" si="1"/>
        <v>146572.65019525154</v>
      </c>
      <c r="H14" s="471">
        <f t="shared" si="1"/>
        <v>19598.550340565518</v>
      </c>
      <c r="I14" s="471">
        <f t="shared" si="1"/>
        <v>0</v>
      </c>
      <c r="J14" s="471">
        <f t="shared" si="1"/>
        <v>1367.7801881925209</v>
      </c>
      <c r="K14" s="471">
        <f t="shared" si="1"/>
        <v>0</v>
      </c>
      <c r="L14" s="471">
        <f t="shared" ca="1" si="1"/>
        <v>0</v>
      </c>
      <c r="M14" s="471">
        <f t="shared" si="1"/>
        <v>7235.2109596257869</v>
      </c>
      <c r="N14" s="471">
        <f t="shared" ca="1" si="1"/>
        <v>13115.003525238259</v>
      </c>
      <c r="O14" s="471">
        <f t="shared" si="1"/>
        <v>121.94000000000001</v>
      </c>
      <c r="P14" s="472">
        <f t="shared" si="1"/>
        <v>57.2</v>
      </c>
      <c r="Q14" s="472">
        <f t="shared" ca="1" si="1"/>
        <v>324419.23769244237</v>
      </c>
    </row>
    <row r="16" spans="1:17">
      <c r="A16" s="474" t="s">
        <v>569</v>
      </c>
      <c r="B16" s="828">
        <f ca="1">huishoudens!B10</f>
        <v>8.8436108666001767E-2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2114.2203768159111</v>
      </c>
      <c r="C21" s="461">
        <f t="shared" ref="C21:C30" ca="1" si="3">C4*$C$16</f>
        <v>0</v>
      </c>
      <c r="D21" s="461">
        <f t="shared" ref="D21:D30" si="4">D4*$D$16</f>
        <v>10747.902208956</v>
      </c>
      <c r="E21" s="461">
        <f t="shared" ref="E21:E30" si="5">E4*$E$16</f>
        <v>573.21507451890932</v>
      </c>
      <c r="F21" s="461">
        <f t="shared" ref="F21:F30" si="6">F4*$F$16</f>
        <v>0</v>
      </c>
      <c r="G21" s="461">
        <f t="shared" ref="G21:G30" si="7">G4*$G$16</f>
        <v>0</v>
      </c>
      <c r="H21" s="461">
        <f t="shared" ref="H21:H30" si="8">H4*$H$16</f>
        <v>0</v>
      </c>
      <c r="I21" s="461">
        <f t="shared" ref="I21:I30" si="9">I4*$I$16</f>
        <v>0</v>
      </c>
      <c r="J21" s="461">
        <f t="shared" ref="J21:J30" si="10">J4*$J$16</f>
        <v>390.96215306488261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13826.299813355703</v>
      </c>
    </row>
    <row r="22" spans="1:17">
      <c r="A22" s="460" t="s">
        <v>156</v>
      </c>
      <c r="B22" s="461">
        <f t="shared" ca="1" si="2"/>
        <v>1144.1808908819935</v>
      </c>
      <c r="C22" s="461">
        <f t="shared" ca="1" si="3"/>
        <v>0</v>
      </c>
      <c r="D22" s="461">
        <f t="shared" ca="1" si="4"/>
        <v>2142.2338307480004</v>
      </c>
      <c r="E22" s="461">
        <f t="shared" si="5"/>
        <v>37.334218835868107</v>
      </c>
      <c r="F22" s="461">
        <f t="shared" ca="1" si="6"/>
        <v>645.03765631093654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3968.7865967767984</v>
      </c>
    </row>
    <row r="23" spans="1:17">
      <c r="A23" s="460" t="s">
        <v>195</v>
      </c>
      <c r="B23" s="461">
        <f t="shared" ca="1" si="2"/>
        <v>79.112289729345207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79.112289729345207</v>
      </c>
    </row>
    <row r="24" spans="1:17">
      <c r="A24" s="460" t="s">
        <v>112</v>
      </c>
      <c r="B24" s="461">
        <f t="shared" ca="1" si="2"/>
        <v>243.34866741904173</v>
      </c>
      <c r="C24" s="461">
        <f t="shared" ca="1" si="3"/>
        <v>0</v>
      </c>
      <c r="D24" s="461">
        <f t="shared" si="4"/>
        <v>225.51753488000003</v>
      </c>
      <c r="E24" s="461">
        <f t="shared" si="5"/>
        <v>6.5412962238331982</v>
      </c>
      <c r="F24" s="461">
        <f t="shared" si="6"/>
        <v>3773.5411281906663</v>
      </c>
      <c r="G24" s="461">
        <f t="shared" si="7"/>
        <v>0</v>
      </c>
      <c r="H24" s="461">
        <f t="shared" si="8"/>
        <v>0</v>
      </c>
      <c r="I24" s="461">
        <f t="shared" si="9"/>
        <v>0</v>
      </c>
      <c r="J24" s="461">
        <f t="shared" si="10"/>
        <v>86.995673994279159</v>
      </c>
      <c r="K24" s="461">
        <f t="shared" si="11"/>
        <v>0</v>
      </c>
      <c r="L24" s="461">
        <f t="shared" si="12"/>
        <v>0</v>
      </c>
      <c r="M24" s="461">
        <f t="shared" si="13"/>
        <v>0</v>
      </c>
      <c r="N24" s="461">
        <f t="shared" si="14"/>
        <v>0</v>
      </c>
      <c r="O24" s="461">
        <f t="shared" si="15"/>
        <v>0</v>
      </c>
      <c r="P24" s="462">
        <f t="shared" si="16"/>
        <v>0</v>
      </c>
      <c r="Q24" s="460">
        <f t="shared" ca="1" si="17"/>
        <v>4335.9443007078207</v>
      </c>
    </row>
    <row r="25" spans="1:17">
      <c r="A25" s="460" t="s">
        <v>656</v>
      </c>
      <c r="B25" s="461">
        <f t="shared" ca="1" si="2"/>
        <v>261.98268613162037</v>
      </c>
      <c r="C25" s="461">
        <f t="shared" ca="1" si="3"/>
        <v>0</v>
      </c>
      <c r="D25" s="461">
        <f t="shared" si="4"/>
        <v>1297.3256411279999</v>
      </c>
      <c r="E25" s="461">
        <f t="shared" si="5"/>
        <v>12.466796719718404</v>
      </c>
      <c r="F25" s="461">
        <f t="shared" si="6"/>
        <v>237.18489388373555</v>
      </c>
      <c r="G25" s="461">
        <f t="shared" si="7"/>
        <v>0</v>
      </c>
      <c r="H25" s="461">
        <f t="shared" si="8"/>
        <v>0</v>
      </c>
      <c r="I25" s="461">
        <f t="shared" si="9"/>
        <v>0</v>
      </c>
      <c r="J25" s="461">
        <f t="shared" si="10"/>
        <v>6.2363595609906239</v>
      </c>
      <c r="K25" s="461">
        <f t="shared" si="11"/>
        <v>0</v>
      </c>
      <c r="L25" s="461">
        <f t="shared" si="12"/>
        <v>0</v>
      </c>
      <c r="M25" s="461">
        <f t="shared" si="13"/>
        <v>0</v>
      </c>
      <c r="N25" s="461">
        <f t="shared" si="14"/>
        <v>0</v>
      </c>
      <c r="O25" s="461">
        <f t="shared" si="15"/>
        <v>0</v>
      </c>
      <c r="P25" s="462">
        <f t="shared" si="16"/>
        <v>0</v>
      </c>
      <c r="Q25" s="460">
        <f t="shared" ca="1" si="17"/>
        <v>1815.1963774240648</v>
      </c>
    </row>
    <row r="26" spans="1:17" s="466" customFormat="1">
      <c r="A26" s="464" t="s">
        <v>574</v>
      </c>
      <c r="B26" s="822">
        <f t="shared" ca="1" si="2"/>
        <v>0.10823047762505107</v>
      </c>
      <c r="C26" s="465">
        <f t="shared" ca="1" si="3"/>
        <v>0</v>
      </c>
      <c r="D26" s="465">
        <f t="shared" si="4"/>
        <v>1.1447032452660919</v>
      </c>
      <c r="E26" s="465">
        <f t="shared" si="5"/>
        <v>151.0452142123228</v>
      </c>
      <c r="F26" s="465">
        <f t="shared" si="6"/>
        <v>0</v>
      </c>
      <c r="G26" s="465">
        <f t="shared" si="7"/>
        <v>38722.219944796459</v>
      </c>
      <c r="H26" s="465">
        <f t="shared" si="8"/>
        <v>4880.0390348008141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43754.557127532491</v>
      </c>
    </row>
    <row r="27" spans="1:17">
      <c r="A27" s="460" t="s">
        <v>564</v>
      </c>
      <c r="B27" s="461">
        <f t="shared" ca="1" si="2"/>
        <v>0</v>
      </c>
      <c r="C27" s="461">
        <f t="shared" ca="1" si="3"/>
        <v>0</v>
      </c>
      <c r="D27" s="461">
        <f t="shared" si="4"/>
        <v>0</v>
      </c>
      <c r="E27" s="461">
        <f t="shared" si="5"/>
        <v>0</v>
      </c>
      <c r="F27" s="461">
        <f t="shared" si="6"/>
        <v>0</v>
      </c>
      <c r="G27" s="461">
        <f t="shared" si="7"/>
        <v>412.6776573357061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412.6776573357061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3842.9531414555372</v>
      </c>
      <c r="C31" s="471">
        <f t="shared" ca="1" si="18"/>
        <v>0</v>
      </c>
      <c r="D31" s="471">
        <f t="shared" ca="1" si="18"/>
        <v>14414.123918957266</v>
      </c>
      <c r="E31" s="471">
        <f t="shared" si="18"/>
        <v>780.60260051065188</v>
      </c>
      <c r="F31" s="471">
        <f t="shared" ca="1" si="18"/>
        <v>4655.7636783853386</v>
      </c>
      <c r="G31" s="471">
        <f t="shared" si="18"/>
        <v>39134.897602132165</v>
      </c>
      <c r="H31" s="471">
        <f t="shared" si="18"/>
        <v>4880.0390348008141</v>
      </c>
      <c r="I31" s="471">
        <f t="shared" si="18"/>
        <v>0</v>
      </c>
      <c r="J31" s="471">
        <f t="shared" si="18"/>
        <v>484.19418662015244</v>
      </c>
      <c r="K31" s="471">
        <f t="shared" si="18"/>
        <v>0</v>
      </c>
      <c r="L31" s="471">
        <f t="shared" ca="1" si="18"/>
        <v>0</v>
      </c>
      <c r="M31" s="471">
        <f t="shared" si="18"/>
        <v>0</v>
      </c>
      <c r="N31" s="471">
        <f t="shared" ca="1" si="18"/>
        <v>0</v>
      </c>
      <c r="O31" s="471">
        <f t="shared" si="18"/>
        <v>0</v>
      </c>
      <c r="P31" s="472">
        <f t="shared" si="18"/>
        <v>0</v>
      </c>
      <c r="Q31" s="472">
        <f t="shared" ca="1" si="18"/>
        <v>68192.574162861929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8.8436108666001767E-2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8.8436108666001767E-2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8.8436108666001767E-2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2018-06-27T09:01:31Z</dcterms:modified>
</cp:coreProperties>
</file>